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519"/>
  <workbookPr autoCompressPictures="0"/>
  <bookViews>
    <workbookView xWindow="13980" yWindow="1480" windowWidth="29080" windowHeight="16240"/>
  </bookViews>
  <sheets>
    <sheet name="Overview" sheetId="5" r:id="rId1"/>
    <sheet name="Reading" sheetId="1" state="hidden" r:id="rId2"/>
    <sheet name="Math" sheetId="2" state="hidden" r:id="rId3"/>
    <sheet name="Writing" sheetId="3" state="hidden" r:id="rId4"/>
    <sheet name="Behavior" sheetId="4" state="hidden" r:id="rId5"/>
    <sheet name="Identifying Information" sheetId="6" state="hidden" r:id="rId6"/>
  </sheets>
  <definedNames>
    <definedName name="behavior1">Behavior!$E$21</definedName>
    <definedName name="behavior2">Behavior!$E$22</definedName>
    <definedName name="behavior3">Behavior!$E$23</definedName>
    <definedName name="behavior4">Behavior!$E$24</definedName>
    <definedName name="behavior5">Behavior!$E$25</definedName>
    <definedName name="computation">Math!$T$3</definedName>
    <definedName name="demonstratesskills">Overview!$C$36</definedName>
    <definedName name="directions">Behavior!$T$3</definedName>
    <definedName name="Firstname">Overview!$C$4</definedName>
    <definedName name="grammar">Writing!$T$5</definedName>
    <definedName name="He">'Identifying Information'!$E$8</definedName>
    <definedName name="His">'Identifying Information'!$F$8</definedName>
    <definedName name="hislower">'Identifying Information'!$G$8</definedName>
    <definedName name="IdentifyingWords">Reading!$T$3</definedName>
    <definedName name="is">Overview!$C$30</definedName>
    <definedName name="istop10">Overview!$C$42</definedName>
    <definedName name="Math1">Math!$E$10</definedName>
    <definedName name="Math2">Math!$E$11</definedName>
    <definedName name="Math3">Math!$E$12</definedName>
    <definedName name="Math4">Math!$E$13</definedName>
    <definedName name="mathfluency">Math!$T$4</definedName>
    <definedName name="motivation">Behavior!$T$5</definedName>
    <definedName name="ontask">Behavior!$T$4</definedName>
    <definedName name="punctuation">Writing!$T$6</definedName>
    <definedName name="ranks">Overview!$C$39</definedName>
    <definedName name="reading1">Reading!$E$4</definedName>
    <definedName name="Reading2">Reading!$E$5</definedName>
    <definedName name="reading3">Reading!$E$6</definedName>
    <definedName name="reading4">Reading!$E$7</definedName>
    <definedName name="readingcomprehension">Reading!$T$5</definedName>
    <definedName name="ReadingFluency">Reading!$T$4</definedName>
    <definedName name="social">Behavior!$T$6</definedName>
    <definedName name="spelling">Writing!$T$4</definedName>
    <definedName name="vlookreading">Reading!$H$16:$I$20</definedName>
    <definedName name="vocabulary">Reading!$T$6</definedName>
    <definedName name="wasrated">Overview!$C$33</definedName>
    <definedName name="wordproblems">Math!$T$5</definedName>
    <definedName name="writing1">Writing!$E$15</definedName>
    <definedName name="writing2">Writing!$E$16</definedName>
    <definedName name="writing3">Writing!$E$17</definedName>
    <definedName name="writing4">Writing!$E$18</definedName>
    <definedName name="writing5">Writing!$E$19</definedName>
    <definedName name="writtencontent">Writing!$T$3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4" l="1"/>
  <c r="E22" i="4"/>
  <c r="I13" i="4"/>
  <c r="E23" i="4"/>
  <c r="I14" i="4"/>
  <c r="E24" i="4"/>
  <c r="I11" i="4"/>
  <c r="E21" i="4"/>
  <c r="C52" i="5"/>
  <c r="C53" i="5"/>
  <c r="B5" i="6"/>
  <c r="B11" i="6"/>
  <c r="C11" i="6"/>
  <c r="B12" i="6"/>
  <c r="C12" i="6"/>
  <c r="B10" i="6"/>
  <c r="C10" i="6"/>
  <c r="C54" i="5"/>
  <c r="C59" i="5"/>
  <c r="B22" i="5"/>
  <c r="I21" i="4"/>
  <c r="I22" i="4"/>
  <c r="N52" i="1"/>
  <c r="T6" i="3"/>
  <c r="T11" i="3"/>
  <c r="T5" i="3"/>
  <c r="T10" i="3"/>
  <c r="T4" i="3"/>
  <c r="T9" i="3"/>
  <c r="T3" i="3"/>
  <c r="T8" i="3"/>
  <c r="B4" i="6"/>
  <c r="G8" i="6"/>
  <c r="B3" i="6"/>
  <c r="B2" i="6"/>
  <c r="T5" i="2"/>
  <c r="T4" i="2"/>
  <c r="T3" i="2"/>
  <c r="T6" i="1"/>
  <c r="T11" i="1"/>
  <c r="T5" i="1"/>
  <c r="T10" i="1"/>
  <c r="T4" i="1"/>
  <c r="T9" i="1"/>
  <c r="T3" i="1"/>
  <c r="T8" i="1"/>
  <c r="D22" i="1"/>
  <c r="D23" i="1"/>
  <c r="D24" i="1"/>
  <c r="D21" i="1"/>
  <c r="D16" i="1"/>
  <c r="D17" i="1"/>
  <c r="D18" i="1"/>
  <c r="D19" i="1"/>
  <c r="D15" i="1"/>
  <c r="E22" i="1"/>
  <c r="E23" i="1"/>
  <c r="E23" i="3"/>
  <c r="E24" i="1"/>
  <c r="E24" i="3"/>
  <c r="E21" i="1"/>
  <c r="E21" i="3"/>
  <c r="E16" i="1"/>
  <c r="E16" i="3"/>
  <c r="E17" i="1"/>
  <c r="E17" i="3"/>
  <c r="M6" i="3"/>
  <c r="E18" i="1"/>
  <c r="E18" i="3"/>
  <c r="O7" i="3"/>
  <c r="O26" i="3"/>
  <c r="E19" i="1"/>
  <c r="E19" i="3"/>
  <c r="E15" i="1"/>
  <c r="E15" i="3"/>
  <c r="D11" i="1"/>
  <c r="D12" i="1"/>
  <c r="D13" i="1"/>
  <c r="D10" i="1"/>
  <c r="E11" i="1"/>
  <c r="E11" i="2"/>
  <c r="E12" i="1"/>
  <c r="E12" i="2"/>
  <c r="K6" i="2"/>
  <c r="K25" i="2"/>
  <c r="E13" i="1"/>
  <c r="E13" i="2"/>
  <c r="E10" i="1"/>
  <c r="E10" i="2"/>
  <c r="E5" i="1"/>
  <c r="O5" i="1"/>
  <c r="O24" i="1"/>
  <c r="E6" i="1"/>
  <c r="M6" i="1"/>
  <c r="E7" i="1"/>
  <c r="K7" i="1"/>
  <c r="E8" i="1"/>
  <c r="E4" i="1"/>
  <c r="M4" i="1"/>
  <c r="D5" i="1"/>
  <c r="D6" i="1"/>
  <c r="D7" i="1"/>
  <c r="D8" i="1"/>
  <c r="D4" i="1"/>
  <c r="E20" i="3"/>
  <c r="AA22" i="2"/>
  <c r="E8" i="6"/>
  <c r="F8" i="6"/>
  <c r="AA23" i="1"/>
  <c r="D33" i="4"/>
  <c r="D30" i="4"/>
  <c r="M25" i="3"/>
  <c r="K26" i="1"/>
  <c r="M25" i="1"/>
  <c r="M23" i="1"/>
  <c r="C43" i="5"/>
  <c r="C40" i="5"/>
  <c r="I18" i="1"/>
  <c r="C34" i="5"/>
  <c r="I17" i="1"/>
  <c r="I20" i="1"/>
  <c r="B20" i="5"/>
  <c r="I16" i="1"/>
  <c r="C31" i="5"/>
  <c r="C37" i="5"/>
  <c r="I19" i="1"/>
  <c r="O6" i="1"/>
  <c r="O25" i="1"/>
  <c r="L5" i="1"/>
  <c r="L24" i="1"/>
  <c r="L4" i="1"/>
  <c r="L23" i="1"/>
  <c r="L5" i="2"/>
  <c r="L24" i="2"/>
  <c r="O5" i="2"/>
  <c r="O24" i="2"/>
  <c r="K5" i="2"/>
  <c r="K24" i="2"/>
  <c r="N5" i="2"/>
  <c r="N24" i="2"/>
  <c r="M5" i="2"/>
  <c r="M24" i="2"/>
  <c r="M5" i="1"/>
  <c r="M24" i="1"/>
  <c r="N4" i="1"/>
  <c r="N23" i="1"/>
  <c r="N5" i="1"/>
  <c r="N24" i="1"/>
  <c r="O4" i="1"/>
  <c r="O23" i="1"/>
  <c r="K5" i="1"/>
  <c r="K24" i="1"/>
  <c r="K4" i="1"/>
  <c r="K23" i="1"/>
  <c r="K12" i="3"/>
  <c r="K12" i="1"/>
  <c r="N6" i="1"/>
  <c r="N25" i="1"/>
  <c r="O6" i="2"/>
  <c r="O25" i="2"/>
  <c r="L6" i="2"/>
  <c r="L25" i="2"/>
  <c r="K7" i="3"/>
  <c r="K26" i="3"/>
  <c r="M6" i="2"/>
  <c r="M25" i="2"/>
  <c r="M7" i="3"/>
  <c r="M26" i="3"/>
  <c r="L12" i="1"/>
  <c r="P12" i="1"/>
  <c r="K4" i="3"/>
  <c r="K23" i="3"/>
  <c r="O7" i="1"/>
  <c r="O26" i="1"/>
  <c r="K13" i="1"/>
  <c r="N6" i="2"/>
  <c r="N25" i="2"/>
  <c r="M7" i="1"/>
  <c r="M26" i="1"/>
  <c r="M4" i="3"/>
  <c r="M23" i="3"/>
  <c r="L14" i="1"/>
  <c r="O4" i="3"/>
  <c r="O23" i="3"/>
  <c r="N7" i="3"/>
  <c r="N26" i="3"/>
  <c r="L14" i="3"/>
  <c r="K6" i="3"/>
  <c r="K25" i="3"/>
  <c r="L7" i="3"/>
  <c r="L26" i="3"/>
  <c r="N5" i="3"/>
  <c r="N24" i="3"/>
  <c r="L5" i="3"/>
  <c r="L24" i="3"/>
  <c r="K13" i="3"/>
  <c r="O5" i="3"/>
  <c r="O24" i="3"/>
  <c r="M5" i="3"/>
  <c r="M24" i="3"/>
  <c r="K5" i="3"/>
  <c r="K24" i="3"/>
  <c r="L13" i="3"/>
  <c r="O4" i="2"/>
  <c r="O23" i="2"/>
  <c r="M4" i="2"/>
  <c r="M23" i="2"/>
  <c r="K4" i="2"/>
  <c r="K23" i="2"/>
  <c r="N4" i="2"/>
  <c r="N23" i="2"/>
  <c r="L4" i="2"/>
  <c r="L23" i="2"/>
  <c r="J12" i="3"/>
  <c r="L12" i="3"/>
  <c r="L4" i="3"/>
  <c r="L23" i="3"/>
  <c r="N4" i="3"/>
  <c r="N23" i="3"/>
  <c r="L6" i="3"/>
  <c r="L25" i="3"/>
  <c r="N6" i="3"/>
  <c r="N25" i="3"/>
  <c r="O6" i="3"/>
  <c r="O25" i="3"/>
  <c r="L7" i="1"/>
  <c r="L26" i="1"/>
  <c r="E22" i="3"/>
  <c r="L13" i="1"/>
  <c r="N7" i="1"/>
  <c r="N26" i="1"/>
  <c r="J12" i="1"/>
  <c r="N12" i="1"/>
  <c r="L6" i="1"/>
  <c r="L25" i="1"/>
  <c r="K6" i="1"/>
  <c r="K25" i="1"/>
  <c r="O12" i="3"/>
  <c r="AA23" i="2"/>
  <c r="AA23" i="3"/>
  <c r="O13" i="3"/>
  <c r="O13" i="1"/>
  <c r="P13" i="1"/>
  <c r="P14" i="3"/>
  <c r="P13" i="3"/>
  <c r="P14" i="1"/>
  <c r="N12" i="3"/>
  <c r="O12" i="1"/>
  <c r="D35" i="4"/>
  <c r="L27" i="1"/>
  <c r="L32" i="1"/>
  <c r="O27" i="1"/>
  <c r="O39" i="1"/>
  <c r="M27" i="2"/>
  <c r="M29" i="2"/>
  <c r="M27" i="1"/>
  <c r="M36" i="1"/>
  <c r="L27" i="2"/>
  <c r="L30" i="2"/>
  <c r="K27" i="1"/>
  <c r="K32" i="1"/>
  <c r="N27" i="1"/>
  <c r="N29" i="1"/>
  <c r="K27" i="2"/>
  <c r="O27" i="2"/>
  <c r="O29" i="2"/>
  <c r="N27" i="2"/>
  <c r="N36" i="2"/>
  <c r="K27" i="3"/>
  <c r="M27" i="3"/>
  <c r="M39" i="3"/>
  <c r="L36" i="2"/>
  <c r="O27" i="3"/>
  <c r="O29" i="3"/>
  <c r="L27" i="3"/>
  <c r="L31" i="3"/>
  <c r="P12" i="3"/>
  <c r="N27" i="3"/>
  <c r="L36" i="1"/>
  <c r="L39" i="1"/>
  <c r="L29" i="1"/>
  <c r="K31" i="1"/>
  <c r="R27" i="1"/>
  <c r="V32" i="1"/>
  <c r="O31" i="1"/>
  <c r="O38" i="1"/>
  <c r="O36" i="1"/>
  <c r="O31" i="2"/>
  <c r="M31" i="2"/>
  <c r="N37" i="2"/>
  <c r="K29" i="3"/>
  <c r="S11" i="3"/>
  <c r="S6" i="3"/>
  <c r="S10" i="3"/>
  <c r="S5" i="3"/>
  <c r="S9" i="3"/>
  <c r="S4" i="3"/>
  <c r="S8" i="3"/>
  <c r="W8" i="3"/>
  <c r="S3" i="3"/>
  <c r="M37" i="2"/>
  <c r="L29" i="2"/>
  <c r="S5" i="2"/>
  <c r="S4" i="2"/>
  <c r="S3" i="2"/>
  <c r="W3" i="2"/>
  <c r="K30" i="2"/>
  <c r="S9" i="1"/>
  <c r="S4" i="1"/>
  <c r="S8" i="1"/>
  <c r="W8" i="1"/>
  <c r="S3" i="1"/>
  <c r="S11" i="1"/>
  <c r="S6" i="1"/>
  <c r="S10" i="1"/>
  <c r="S5" i="1"/>
  <c r="K29" i="1"/>
  <c r="O29" i="1"/>
  <c r="O37" i="1"/>
  <c r="K30" i="1"/>
  <c r="O30" i="1"/>
  <c r="O32" i="1"/>
  <c r="L32" i="3"/>
  <c r="K32" i="3"/>
  <c r="O31" i="3"/>
  <c r="M30" i="2"/>
  <c r="M36" i="2"/>
  <c r="M35" i="2"/>
  <c r="K31" i="2"/>
  <c r="K29" i="2"/>
  <c r="N38" i="1"/>
  <c r="N36" i="1"/>
  <c r="N32" i="1"/>
  <c r="M29" i="1"/>
  <c r="N30" i="1"/>
  <c r="M38" i="1"/>
  <c r="M32" i="1"/>
  <c r="M31" i="1"/>
  <c r="N37" i="1"/>
  <c r="L37" i="2"/>
  <c r="L35" i="2"/>
  <c r="L31" i="2"/>
  <c r="N31" i="1"/>
  <c r="N39" i="1"/>
  <c r="M39" i="1"/>
  <c r="M36" i="3"/>
  <c r="N30" i="2"/>
  <c r="O37" i="2"/>
  <c r="M32" i="3"/>
  <c r="N35" i="2"/>
  <c r="O35" i="2"/>
  <c r="K31" i="3"/>
  <c r="M29" i="3"/>
  <c r="N29" i="2"/>
  <c r="N31" i="2"/>
  <c r="K30" i="3"/>
  <c r="O37" i="3"/>
  <c r="R27" i="3"/>
  <c r="V32" i="3"/>
  <c r="L38" i="3"/>
  <c r="L29" i="3"/>
  <c r="L36" i="3"/>
  <c r="L39" i="3"/>
  <c r="O39" i="3"/>
  <c r="O36" i="3"/>
  <c r="O38" i="3"/>
  <c r="O30" i="3"/>
  <c r="O32" i="3"/>
  <c r="N30" i="3"/>
  <c r="N39" i="3"/>
  <c r="N32" i="3"/>
  <c r="N36" i="3"/>
  <c r="N31" i="3"/>
  <c r="N37" i="3"/>
  <c r="N29" i="3"/>
  <c r="N38" i="3"/>
  <c r="L31" i="1"/>
  <c r="L38" i="1"/>
  <c r="L33" i="2"/>
  <c r="M33" i="2"/>
  <c r="M43" i="2"/>
  <c r="O40" i="1"/>
  <c r="W4" i="1"/>
  <c r="L30" i="1"/>
  <c r="L33" i="1"/>
  <c r="N39" i="2"/>
  <c r="M39" i="2"/>
  <c r="O33" i="1"/>
  <c r="O44" i="1"/>
  <c r="K33" i="1"/>
  <c r="K44" i="1"/>
  <c r="K33" i="2"/>
  <c r="K43" i="2"/>
  <c r="N40" i="1"/>
  <c r="W3" i="1"/>
  <c r="K33" i="3"/>
  <c r="K44" i="3"/>
  <c r="W4" i="2"/>
  <c r="O36" i="2"/>
  <c r="O39" i="2"/>
  <c r="L39" i="2"/>
  <c r="N33" i="1"/>
  <c r="W10" i="1"/>
  <c r="W9" i="1"/>
  <c r="N33" i="2"/>
  <c r="N43" i="2"/>
  <c r="W3" i="3"/>
  <c r="W10" i="3"/>
  <c r="O33" i="3"/>
  <c r="O40" i="3"/>
  <c r="N40" i="3"/>
  <c r="W4" i="3"/>
  <c r="K38" i="5"/>
  <c r="W9" i="3"/>
  <c r="N33" i="3"/>
  <c r="L37" i="1"/>
  <c r="L40" i="1"/>
  <c r="O30" i="2"/>
  <c r="O33" i="2"/>
  <c r="O43" i="2"/>
  <c r="L43" i="2"/>
  <c r="L44" i="1"/>
  <c r="N44" i="1"/>
  <c r="L30" i="3"/>
  <c r="L33" i="3"/>
  <c r="L37" i="3"/>
  <c r="L40" i="3"/>
  <c r="O44" i="3"/>
  <c r="M30" i="1"/>
  <c r="M33" i="1"/>
  <c r="M37" i="1"/>
  <c r="M40" i="1"/>
  <c r="M37" i="3"/>
  <c r="M30" i="3"/>
  <c r="M31" i="3"/>
  <c r="N44" i="3"/>
  <c r="M38" i="3"/>
  <c r="V33" i="2"/>
  <c r="K32" i="5"/>
  <c r="M44" i="1"/>
  <c r="V33" i="1"/>
  <c r="L44" i="3"/>
  <c r="M33" i="3"/>
  <c r="M40" i="3"/>
  <c r="V40" i="1"/>
  <c r="K29" i="5"/>
  <c r="M44" i="3"/>
  <c r="V33" i="3"/>
  <c r="V40" i="3"/>
  <c r="K35" i="5"/>
  <c r="P4" i="5"/>
</calcChain>
</file>

<file path=xl/sharedStrings.xml><?xml version="1.0" encoding="utf-8"?>
<sst xmlns="http://schemas.openxmlformats.org/spreadsheetml/2006/main" count="303" uniqueCount="135">
  <si>
    <t>Paste--&gt;</t>
  </si>
  <si>
    <t>OPTIONS TO CHANGE THE WORDING</t>
  </si>
  <si>
    <t>Reading Options (4)</t>
  </si>
  <si>
    <t>Math Options (3)</t>
  </si>
  <si>
    <t>Writing Options (4)</t>
  </si>
  <si>
    <t>Behavior Options (4)</t>
  </si>
  <si>
    <t>identifying words</t>
  </si>
  <si>
    <t>content</t>
  </si>
  <si>
    <t>compliance to directions</t>
  </si>
  <si>
    <t>number sense</t>
  </si>
  <si>
    <t>spelling</t>
  </si>
  <si>
    <t>on-task behavior</t>
  </si>
  <si>
    <t>solving word problems</t>
  </si>
  <si>
    <t>grammar</t>
  </si>
  <si>
    <t>vocabulary</t>
  </si>
  <si>
    <t>--</t>
  </si>
  <si>
    <t>punctuation</t>
  </si>
  <si>
    <t>You can change the above options, but each change needs to fit the blank in these hypothetical sentences:</t>
  </si>
  <si>
    <t>Academics:</t>
  </si>
  <si>
    <t>Behavior:</t>
  </si>
  <si>
    <t>Substitution Example:</t>
  </si>
  <si>
    <t>phonemic awareness</t>
  </si>
  <si>
    <t>handwriting</t>
  </si>
  <si>
    <t>To make the report sound less robotic, the wording is slightly changed:</t>
  </si>
  <si>
    <t>Reading Sentences Linked to Report:</t>
  </si>
  <si>
    <t>Rating 1 Option:</t>
  </si>
  <si>
    <t>is</t>
  </si>
  <si>
    <t>Example of Rating 1:</t>
  </si>
  <si>
    <t>Math Sentences Linked To Report:</t>
  </si>
  <si>
    <t>Rating 2 Option:</t>
  </si>
  <si>
    <t>was rated</t>
  </si>
  <si>
    <t>Example of Rating 2:</t>
  </si>
  <si>
    <t>Writing Sentences Linked To Report:</t>
  </si>
  <si>
    <t>Rating 3 Option:</t>
  </si>
  <si>
    <t>demonstrates</t>
  </si>
  <si>
    <t>Example of Rating 3:</t>
  </si>
  <si>
    <t>Behavior Sentence Linked To Report:</t>
  </si>
  <si>
    <t>Rating 4 Option:</t>
  </si>
  <si>
    <t>ranks</t>
  </si>
  <si>
    <t>Example of Rating 4:</t>
  </si>
  <si>
    <t>Rating 5 Option:</t>
  </si>
  <si>
    <t>Example of Rating 5:</t>
  </si>
  <si>
    <t>You can change each option as long as it works with the example. (Do not change the example, it will change for you.)</t>
  </si>
  <si>
    <t>Identifying Information in First Sentence</t>
  </si>
  <si>
    <t>general education</t>
  </si>
  <si>
    <t>special education</t>
  </si>
  <si>
    <t>First Sentence Generated:</t>
  </si>
  <si>
    <t xml:space="preserve"> </t>
  </si>
  <si>
    <t>Warning: DO NOT CHANGE THIS EXCEL SHEET</t>
  </si>
  <si>
    <t>Reading</t>
  </si>
  <si>
    <t>Rating</t>
  </si>
  <si>
    <t>Math</t>
  </si>
  <si>
    <t>F1</t>
  </si>
  <si>
    <t>F2</t>
  </si>
  <si>
    <t>F3</t>
  </si>
  <si>
    <t>F4</t>
  </si>
  <si>
    <t>x</t>
  </si>
  <si>
    <t>X</t>
  </si>
  <si>
    <t>Writing</t>
  </si>
  <si>
    <t xml:space="preserve">in the bottom 10 percent of the class. </t>
  </si>
  <si>
    <t xml:space="preserve">in the bottom 20 percent of the class. </t>
  </si>
  <si>
    <t xml:space="preserve">equivalent in skill level to the class. </t>
  </si>
  <si>
    <t xml:space="preserve">in the top 20 percent of the class. </t>
  </si>
  <si>
    <t xml:space="preserve">in the top 10 percent of the class. </t>
  </si>
  <si>
    <t>Behavior</t>
  </si>
  <si>
    <t>Description</t>
  </si>
  <si>
    <t>Total</t>
  </si>
  <si>
    <t>Count</t>
  </si>
  <si>
    <t>Sentence</t>
  </si>
  <si>
    <t>Sentence(s) generated:</t>
  </si>
  <si>
    <t>Sentences:</t>
  </si>
  <si>
    <t>His/Her Sent.</t>
  </si>
  <si>
    <t xml:space="preserve">Actual </t>
  </si>
  <si>
    <t>Sentences</t>
  </si>
  <si>
    <t>(AND(OR((AND(1&lt;=J12, J12&lt;=5)),  AND(1&lt;=K12, K12&lt;=5)), AND(1&lt;=L12, L12&lt;=5)), He&amp;" "&amp;VLOOKUP(L12,vlookreading, 2)&amp;IdentifyingWords&amp;" and "&amp;vocabulary&amp;". ", "")</t>
  </si>
  <si>
    <t>Student’s ability to identify words compared to classmates</t>
  </si>
  <si>
    <t>Student’s reading fluency compared to classmates</t>
  </si>
  <si>
    <t>Student’s reading comprehension compared to classmates</t>
  </si>
  <si>
    <t>Student’s vocabulary compared to classmates</t>
  </si>
  <si>
    <t>Student’s overall reading abilities compared to classmates</t>
  </si>
  <si>
    <t>Student’s computation skills compared to classmates</t>
  </si>
  <si>
    <t>Student’s math fluency compared to classmates</t>
  </si>
  <si>
    <t>Student’s ability to solve word problems compared to classmates</t>
  </si>
  <si>
    <t>Student’s overall math abilities compared to classmates</t>
  </si>
  <si>
    <t>Student’s overall writing abilities compared to classmates</t>
  </si>
  <si>
    <t>Student’s spelling abilities compared to classmates</t>
  </si>
  <si>
    <t>Student’s grammar and punctuation compared to classmates</t>
  </si>
  <si>
    <t>Student’s written content compared to classmates</t>
  </si>
  <si>
    <t>Student’s handwriting compared to classmates</t>
  </si>
  <si>
    <t>Student’s tendency to follow classroom directions compared to classmates</t>
  </si>
  <si>
    <t>Student’s tendency to stay on-task compared to classmates</t>
  </si>
  <si>
    <t>Student’s motivation level compared to classmates</t>
  </si>
  <si>
    <t>Student’s social skills compared to classmates</t>
  </si>
  <si>
    <t>Student’s overall behavior compared to classmates</t>
  </si>
  <si>
    <t>Sentences generated:</t>
  </si>
  <si>
    <t>Student’s grammar compared to classmates</t>
  </si>
  <si>
    <t>Student’s punctuation compared to classmates</t>
  </si>
  <si>
    <t>Student First Name:</t>
  </si>
  <si>
    <t>Student's Grade</t>
  </si>
  <si>
    <t>Male</t>
  </si>
  <si>
    <t>Student's Sex</t>
  </si>
  <si>
    <t>He</t>
  </si>
  <si>
    <t>His</t>
  </si>
  <si>
    <t>his</t>
  </si>
  <si>
    <t>Date</t>
  </si>
  <si>
    <t>Female</t>
  </si>
  <si>
    <t>She</t>
  </si>
  <si>
    <t>Her</t>
  </si>
  <si>
    <t>her</t>
  </si>
  <si>
    <t>Actual:</t>
  </si>
  <si>
    <t>Student’s First Name:</t>
  </si>
  <si>
    <t>Student’s Last Name:</t>
  </si>
  <si>
    <t>Student’s Grade:</t>
  </si>
  <si>
    <t>Student’s Sex:</t>
  </si>
  <si>
    <t>Date:</t>
  </si>
  <si>
    <t>Not 4</t>
  </si>
  <si>
    <t>Paste --&gt;</t>
  </si>
  <si>
    <t>computation</t>
  </si>
  <si>
    <t xml:space="preserve">Delete the "1" then press "enter" in any of the yellow cells (B52, B53, B54) if you don't want the information directly to the right (C52, C53, C54) to appear in the report.  </t>
  </si>
  <si>
    <t>If you would like to replace the grade (e.g. "4th grade teacher") with "general education teacher" or "special education teacher," remove the "1" in cell B52 and insert a "1" to the left of general or special education. Then press enter.</t>
  </si>
  <si>
    <t>participation</t>
  </si>
  <si>
    <t>work completion</t>
  </si>
  <si>
    <t>fluency</t>
  </si>
  <si>
    <t>comprehension</t>
  </si>
  <si>
    <t>organization</t>
  </si>
  <si>
    <t>Copy and Paste to Report:</t>
  </si>
  <si>
    <t>1-5 Rating</t>
  </si>
  <si>
    <t>Student’s spelling compared to classmates</t>
  </si>
  <si>
    <t>Student’s compliance to directions compared to classmates</t>
  </si>
  <si>
    <t>Student’s on-task behavior compared to classmates</t>
  </si>
  <si>
    <t>Student’s work completion compared to classmates</t>
  </si>
  <si>
    <t>Student’s participation compared to classmates</t>
  </si>
  <si>
    <t>OPTIONS TO CHANGE THE CONTENT</t>
  </si>
  <si>
    <t>Teacher’s Name:</t>
  </si>
  <si>
    <r>
      <rPr>
        <b/>
        <sz val="11"/>
        <color theme="1"/>
        <rFont val="Calibri"/>
        <family val="2"/>
        <scheme val="minor"/>
      </rPr>
      <t>Instructions:</t>
    </r>
    <r>
      <rPr>
        <sz val="11"/>
        <color theme="1"/>
        <rFont val="Calibri"/>
        <family val="2"/>
        <scheme val="minor"/>
      </rPr>
      <t xml:space="preserve"> On the checklist in Microsoft Word, copy the first table and paste into cell B4. Then copy the second table and paste into cell K4.  Then copy cell P4 into your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</si>
</sst>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7"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u/>
      <sz val="14"/>
      <color theme="1"/>
      <name val="Calibri"/>
      <family val="2"/>
      <scheme val="minor"/>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CC2E5"/>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8">
    <xf numFmtId="0" fontId="0" fillId="0" borderId="0" xfId="0"/>
    <xf numFmtId="0" fontId="2" fillId="2" borderId="1" xfId="0" applyFont="1"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3" borderId="0" xfId="0" applyFill="1"/>
    <xf numFmtId="0" fontId="1" fillId="0" borderId="0" xfId="0" applyFont="1"/>
    <xf numFmtId="0" fontId="1" fillId="3" borderId="0" xfId="0" applyFont="1" applyFill="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0" borderId="0" xfId="0" applyFill="1"/>
    <xf numFmtId="0" fontId="1" fillId="0" borderId="0" xfId="0" applyFont="1" applyFill="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0" xfId="0" applyFill="1" applyBorder="1" applyAlignment="1">
      <alignment vertical="center" wrapText="1"/>
    </xf>
    <xf numFmtId="0" fontId="3" fillId="0" borderId="4" xfId="0" applyFont="1" applyBorder="1" applyAlignment="1">
      <alignment vertical="center" wrapText="1"/>
    </xf>
    <xf numFmtId="0" fontId="0" fillId="0" borderId="0" xfId="0" quotePrefix="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0" fillId="4" borderId="0" xfId="0" applyFill="1"/>
    <xf numFmtId="0" fontId="1" fillId="4" borderId="0" xfId="0" applyFont="1" applyFill="1"/>
    <xf numFmtId="14" fontId="0" fillId="0" borderId="0" xfId="0" applyNumberFormat="1"/>
    <xf numFmtId="0" fontId="1" fillId="0" borderId="0" xfId="0" applyFont="1" applyFill="1" applyBorder="1" applyAlignment="1">
      <alignment horizontal="center" vertical="center" wrapText="1"/>
    </xf>
    <xf numFmtId="0" fontId="0" fillId="3" borderId="7" xfId="0" applyFill="1" applyBorder="1"/>
    <xf numFmtId="164" fontId="0" fillId="0" borderId="0" xfId="0" applyNumberFormat="1"/>
    <xf numFmtId="165" fontId="0" fillId="0" borderId="0" xfId="0" applyNumberFormat="1" applyFill="1"/>
    <xf numFmtId="165" fontId="0" fillId="0" borderId="0" xfId="0" applyNumberFormat="1"/>
    <xf numFmtId="14" fontId="1" fillId="0" borderId="4" xfId="0" applyNumberFormat="1" applyFont="1" applyBorder="1" applyAlignment="1">
      <alignment horizontal="center" vertical="center" wrapText="1"/>
    </xf>
    <xf numFmtId="0" fontId="0" fillId="0" borderId="0" xfId="0" applyAlignment="1">
      <alignment horizontal="right"/>
    </xf>
    <xf numFmtId="0" fontId="4" fillId="0" borderId="0" xfId="0" applyFont="1" applyAlignment="1">
      <alignment horizontal="center"/>
    </xf>
    <xf numFmtId="0" fontId="0" fillId="0" borderId="0" xfId="0" applyFont="1"/>
    <xf numFmtId="0" fontId="0" fillId="0" borderId="7" xfId="0" applyBorder="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2" xfId="0" applyFont="1" applyFill="1" applyBorder="1" applyAlignment="1">
      <alignmen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zoomScale="140" zoomScaleNormal="140" zoomScalePageLayoutView="140" workbookViewId="0"/>
  </sheetViews>
  <sheetFormatPr baseColWidth="10" defaultColWidth="8.83203125" defaultRowHeight="14" x14ac:dyDescent="0"/>
  <cols>
    <col min="2" max="2" width="25.6640625" customWidth="1"/>
    <col min="3" max="3" width="28.33203125" customWidth="1"/>
    <col min="4" max="4" width="23.1640625" customWidth="1"/>
    <col min="5" max="5" width="28.1640625" customWidth="1"/>
    <col min="6" max="6" width="16" customWidth="1"/>
    <col min="7" max="8" width="7.1640625" customWidth="1"/>
    <col min="10" max="10" width="9.1640625" customWidth="1"/>
    <col min="11" max="11" width="66.6640625" customWidth="1"/>
    <col min="12" max="12" width="31.33203125" customWidth="1"/>
    <col min="15" max="15" width="26.5" customWidth="1"/>
    <col min="16" max="16" width="21.5" bestFit="1" customWidth="1"/>
    <col min="17" max="17" width="20.33203125" bestFit="1" customWidth="1"/>
    <col min="18" max="18" width="23.1640625" bestFit="1" customWidth="1"/>
  </cols>
  <sheetData>
    <row r="1" spans="1:19">
      <c r="A1" t="s">
        <v>134</v>
      </c>
    </row>
    <row r="3" spans="1:19" ht="15" thickBot="1">
      <c r="A3" s="7"/>
      <c r="B3" s="7"/>
      <c r="C3" s="7"/>
      <c r="D3" s="7"/>
      <c r="E3" s="7"/>
      <c r="F3" s="7"/>
      <c r="H3" s="12"/>
      <c r="I3" s="12"/>
      <c r="J3" s="7"/>
      <c r="K3" s="7"/>
      <c r="L3" s="7"/>
      <c r="M3" s="7"/>
    </row>
    <row r="4" spans="1:19" ht="15" thickBot="1">
      <c r="A4" s="9" t="s">
        <v>0</v>
      </c>
      <c r="B4" s="36" t="s">
        <v>110</v>
      </c>
      <c r="C4" s="20"/>
      <c r="D4" s="37" t="s">
        <v>111</v>
      </c>
      <c r="E4" s="20"/>
      <c r="F4" s="22"/>
      <c r="H4" s="26"/>
      <c r="I4" s="12"/>
      <c r="J4" s="9" t="s">
        <v>116</v>
      </c>
      <c r="K4" s="41" t="s">
        <v>49</v>
      </c>
      <c r="L4" s="42" t="s">
        <v>126</v>
      </c>
      <c r="M4" s="7"/>
      <c r="O4" s="8" t="s">
        <v>125</v>
      </c>
      <c r="P4" t="e">
        <f>C59&amp;K29&amp;K32&amp;K35&amp;K38</f>
        <v>#N/A</v>
      </c>
    </row>
    <row r="5" spans="1:19" ht="15" thickBot="1">
      <c r="A5" s="7"/>
      <c r="B5" s="38" t="s">
        <v>112</v>
      </c>
      <c r="C5" s="21"/>
      <c r="D5" s="39" t="s">
        <v>113</v>
      </c>
      <c r="E5" s="21"/>
      <c r="F5" s="22"/>
      <c r="H5" s="26"/>
      <c r="I5" s="12"/>
      <c r="J5" s="7"/>
      <c r="K5" s="3" t="s">
        <v>75</v>
      </c>
      <c r="L5" s="4"/>
      <c r="M5" s="7"/>
      <c r="Q5" t="s">
        <v>47</v>
      </c>
    </row>
    <row r="6" spans="1:19" ht="15" thickBot="1">
      <c r="A6" s="7"/>
      <c r="B6" s="38" t="s">
        <v>133</v>
      </c>
      <c r="C6" s="21"/>
      <c r="D6" s="40" t="s">
        <v>114</v>
      </c>
      <c r="E6" s="31"/>
      <c r="F6" s="7"/>
      <c r="H6" s="12"/>
      <c r="I6" s="12"/>
      <c r="J6" s="7"/>
      <c r="K6" s="3" t="s">
        <v>76</v>
      </c>
      <c r="L6" s="4"/>
      <c r="M6" s="7"/>
      <c r="O6" t="s">
        <v>47</v>
      </c>
    </row>
    <row r="7" spans="1:19" ht="15" thickBot="1">
      <c r="A7" s="7"/>
      <c r="B7" s="7"/>
      <c r="C7" s="7"/>
      <c r="D7" s="7"/>
      <c r="E7" s="7"/>
      <c r="F7" s="7"/>
      <c r="G7" s="12"/>
      <c r="H7" s="12"/>
      <c r="I7" s="12"/>
      <c r="J7" s="7"/>
      <c r="K7" s="3" t="s">
        <v>77</v>
      </c>
      <c r="L7" s="4"/>
      <c r="M7" s="7"/>
    </row>
    <row r="8" spans="1:19" ht="15" thickBot="1">
      <c r="A8" s="12"/>
      <c r="B8" s="12"/>
      <c r="C8" s="12"/>
      <c r="D8" s="12"/>
      <c r="E8" s="29"/>
      <c r="F8" s="12"/>
      <c r="G8" s="12"/>
      <c r="H8" s="12"/>
      <c r="I8" s="12"/>
      <c r="J8" s="7"/>
      <c r="K8" s="3" t="s">
        <v>78</v>
      </c>
      <c r="L8" s="4"/>
      <c r="M8" s="7"/>
    </row>
    <row r="9" spans="1:19" ht="15" thickBot="1">
      <c r="A9" s="23"/>
      <c r="B9" s="23"/>
      <c r="C9" s="23"/>
      <c r="D9" s="23"/>
      <c r="E9" s="23"/>
      <c r="F9" s="23"/>
      <c r="G9" s="23"/>
      <c r="H9" s="23"/>
      <c r="I9" s="12"/>
      <c r="J9" s="7"/>
      <c r="K9" s="3" t="s">
        <v>79</v>
      </c>
      <c r="L9" s="4"/>
      <c r="M9" s="7"/>
      <c r="O9" t="s">
        <v>47</v>
      </c>
      <c r="S9" s="8"/>
    </row>
    <row r="10" spans="1:19" ht="19" thickBot="1">
      <c r="B10" t="s">
        <v>47</v>
      </c>
      <c r="C10" s="45" t="s">
        <v>132</v>
      </c>
      <c r="D10" s="45"/>
      <c r="E10" s="33"/>
      <c r="H10" s="23"/>
      <c r="I10" s="12"/>
      <c r="J10" s="7"/>
      <c r="K10" s="43" t="s">
        <v>51</v>
      </c>
      <c r="L10" s="44" t="s">
        <v>126</v>
      </c>
      <c r="M10" s="7"/>
      <c r="O10" t="s">
        <v>47</v>
      </c>
    </row>
    <row r="11" spans="1:19" ht="15" thickBot="1">
      <c r="H11" s="23"/>
      <c r="I11" s="12"/>
      <c r="J11" s="7"/>
      <c r="K11" s="3" t="s">
        <v>80</v>
      </c>
      <c r="L11" s="4"/>
      <c r="M11" s="7"/>
    </row>
    <row r="12" spans="1:19" ht="15" thickBot="1">
      <c r="B12" s="9" t="s">
        <v>2</v>
      </c>
      <c r="C12" s="9" t="s">
        <v>3</v>
      </c>
      <c r="D12" s="9" t="s">
        <v>4</v>
      </c>
      <c r="E12" s="9" t="s">
        <v>5</v>
      </c>
      <c r="H12" s="23"/>
      <c r="I12" s="12"/>
      <c r="J12" s="7"/>
      <c r="K12" s="3" t="s">
        <v>81</v>
      </c>
      <c r="L12" s="4"/>
      <c r="M12" s="7"/>
    </row>
    <row r="13" spans="1:19" ht="15" thickBot="1">
      <c r="B13" t="s">
        <v>6</v>
      </c>
      <c r="C13" t="s">
        <v>117</v>
      </c>
      <c r="D13" t="s">
        <v>7</v>
      </c>
      <c r="E13" t="s">
        <v>8</v>
      </c>
      <c r="H13" s="23"/>
      <c r="I13" s="12"/>
      <c r="J13" s="7"/>
      <c r="K13" s="3" t="s">
        <v>82</v>
      </c>
      <c r="L13" s="4"/>
      <c r="M13" s="7"/>
    </row>
    <row r="14" spans="1:19" ht="15" thickBot="1">
      <c r="B14" t="s">
        <v>122</v>
      </c>
      <c r="C14" t="s">
        <v>122</v>
      </c>
      <c r="D14" t="s">
        <v>10</v>
      </c>
      <c r="E14" t="s">
        <v>11</v>
      </c>
      <c r="H14" s="23"/>
      <c r="I14" s="12"/>
      <c r="J14" s="7"/>
      <c r="K14" s="3" t="s">
        <v>83</v>
      </c>
      <c r="L14" s="4"/>
      <c r="M14" s="7"/>
    </row>
    <row r="15" spans="1:19" ht="15" thickBot="1">
      <c r="B15" t="s">
        <v>123</v>
      </c>
      <c r="C15" t="s">
        <v>12</v>
      </c>
      <c r="D15" t="s">
        <v>13</v>
      </c>
      <c r="E15" t="s">
        <v>121</v>
      </c>
      <c r="H15" s="23"/>
      <c r="I15" s="12"/>
      <c r="J15" s="7"/>
      <c r="K15" s="43" t="s">
        <v>58</v>
      </c>
      <c r="L15" s="44" t="s">
        <v>126</v>
      </c>
      <c r="M15" s="7"/>
    </row>
    <row r="16" spans="1:19" ht="15" thickBot="1">
      <c r="B16" t="s">
        <v>14</v>
      </c>
      <c r="C16" s="19" t="s">
        <v>15</v>
      </c>
      <c r="D16" t="s">
        <v>16</v>
      </c>
      <c r="E16" t="s">
        <v>120</v>
      </c>
      <c r="H16" s="23"/>
      <c r="I16" s="12"/>
      <c r="J16" s="7"/>
      <c r="K16" s="3" t="s">
        <v>87</v>
      </c>
      <c r="L16" s="4"/>
      <c r="M16" s="7"/>
    </row>
    <row r="17" spans="2:13" ht="15" thickBot="1">
      <c r="C17" s="47"/>
      <c r="D17" s="47"/>
      <c r="H17" s="23"/>
      <c r="I17" s="12"/>
      <c r="J17" s="7"/>
      <c r="K17" s="3" t="s">
        <v>127</v>
      </c>
      <c r="L17" s="4"/>
      <c r="M17" s="7"/>
    </row>
    <row r="18" spans="2:13" ht="15" thickBot="1">
      <c r="B18" s="8" t="s">
        <v>17</v>
      </c>
      <c r="C18" s="8"/>
      <c r="D18" s="8"/>
      <c r="E18" s="8"/>
      <c r="H18" s="23"/>
      <c r="I18" s="12"/>
      <c r="J18" s="7"/>
      <c r="K18" s="3" t="s">
        <v>95</v>
      </c>
      <c r="L18" s="4"/>
      <c r="M18" s="7"/>
    </row>
    <row r="19" spans="2:13" ht="15" thickBot="1">
      <c r="B19" s="9" t="s">
        <v>18</v>
      </c>
      <c r="H19" s="23"/>
      <c r="I19" s="12"/>
      <c r="J19" s="7"/>
      <c r="K19" s="3" t="s">
        <v>96</v>
      </c>
      <c r="L19" s="4"/>
      <c r="M19" s="7"/>
    </row>
    <row r="20" spans="2:13" ht="15" thickBot="1">
      <c r="B20" t="str">
        <f>Firstname&amp;" is in the top 10 percent of "&amp;hislower&amp;" class in _________________"</f>
        <v xml:space="preserve"> is in the top 10 percent of her class in _________________</v>
      </c>
      <c r="H20" s="23"/>
      <c r="I20" s="12"/>
      <c r="J20" s="7"/>
      <c r="K20" s="3" t="s">
        <v>84</v>
      </c>
      <c r="L20" s="4"/>
      <c r="M20" s="7"/>
    </row>
    <row r="21" spans="2:13" ht="15" thickBot="1">
      <c r="B21" s="9" t="s">
        <v>19</v>
      </c>
      <c r="H21" s="23"/>
      <c r="I21" s="12"/>
      <c r="J21" s="7"/>
      <c r="K21" s="43" t="s">
        <v>64</v>
      </c>
      <c r="L21" s="44" t="s">
        <v>65</v>
      </c>
      <c r="M21" s="7"/>
    </row>
    <row r="22" spans="2:13" ht="15" thickBot="1">
      <c r="B22" t="str">
        <f>Firstname&amp;" demonstrates above average __________"</f>
        <v xml:space="preserve"> demonstrates above average __________</v>
      </c>
      <c r="H22" s="23"/>
      <c r="I22" s="12"/>
      <c r="J22" s="7"/>
      <c r="K22" s="3" t="s">
        <v>128</v>
      </c>
      <c r="L22" s="4"/>
      <c r="M22" s="7"/>
    </row>
    <row r="23" spans="2:13" ht="15" thickBot="1">
      <c r="H23" s="23"/>
      <c r="I23" s="12"/>
      <c r="J23" s="7"/>
      <c r="K23" s="3" t="s">
        <v>129</v>
      </c>
      <c r="L23" s="4"/>
      <c r="M23" s="7"/>
    </row>
    <row r="24" spans="2:13" ht="15" thickBot="1">
      <c r="B24" s="9" t="s">
        <v>20</v>
      </c>
      <c r="C24" s="9" t="s">
        <v>20</v>
      </c>
      <c r="D24" s="9" t="s">
        <v>20</v>
      </c>
      <c r="E24" s="9" t="s">
        <v>20</v>
      </c>
      <c r="H24" s="23"/>
      <c r="I24" s="12"/>
      <c r="J24" s="7"/>
      <c r="K24" s="3" t="s">
        <v>130</v>
      </c>
      <c r="L24" s="4"/>
      <c r="M24" s="7"/>
    </row>
    <row r="25" spans="2:13" ht="15" thickBot="1">
      <c r="B25" t="s">
        <v>21</v>
      </c>
      <c r="C25" t="s">
        <v>9</v>
      </c>
      <c r="D25" t="s">
        <v>22</v>
      </c>
      <c r="E25" t="s">
        <v>124</v>
      </c>
      <c r="H25" s="23"/>
      <c r="I25" s="12"/>
      <c r="J25" s="7"/>
      <c r="K25" s="3" t="s">
        <v>131</v>
      </c>
      <c r="L25" s="4"/>
      <c r="M25" s="7"/>
    </row>
    <row r="26" spans="2:13">
      <c r="H26" s="23"/>
      <c r="I26" s="12"/>
      <c r="J26" s="7"/>
      <c r="K26" s="7"/>
      <c r="L26" s="7"/>
      <c r="M26" s="7"/>
    </row>
    <row r="27" spans="2:13" ht="18">
      <c r="C27" s="45" t="s">
        <v>1</v>
      </c>
      <c r="D27" s="45"/>
      <c r="H27" s="23"/>
      <c r="I27" s="12"/>
    </row>
    <row r="28" spans="2:13">
      <c r="B28" s="8" t="s">
        <v>23</v>
      </c>
      <c r="H28" s="23"/>
      <c r="I28" s="12"/>
      <c r="K28" s="8" t="s">
        <v>24</v>
      </c>
    </row>
    <row r="29" spans="2:13">
      <c r="H29" s="23"/>
      <c r="I29" s="12"/>
      <c r="K29" t="e">
        <f>Reading!V40</f>
        <v>#N/A</v>
      </c>
    </row>
    <row r="30" spans="2:13">
      <c r="B30" s="9" t="s">
        <v>25</v>
      </c>
      <c r="C30" t="s">
        <v>26</v>
      </c>
      <c r="G30" s="8"/>
      <c r="H30" s="24"/>
      <c r="I30" s="12"/>
    </row>
    <row r="31" spans="2:13">
      <c r="B31" s="8" t="s">
        <v>27</v>
      </c>
      <c r="C31" t="str">
        <f>Firstname&amp;" "&amp;C30&amp;" in the bottom 10 percent of "&amp;hislower&amp;" class in reading fluency."</f>
        <v xml:space="preserve"> is in the bottom 10 percent of her class in reading fluency.</v>
      </c>
      <c r="H31" s="23"/>
      <c r="I31" s="12"/>
      <c r="K31" s="8" t="s">
        <v>28</v>
      </c>
    </row>
    <row r="32" spans="2:13">
      <c r="H32" s="23"/>
      <c r="I32" s="12"/>
      <c r="K32" t="e">
        <f>Math!V33</f>
        <v>#N/A</v>
      </c>
    </row>
    <row r="33" spans="1:11">
      <c r="B33" s="9" t="s">
        <v>29</v>
      </c>
      <c r="C33" t="s">
        <v>30</v>
      </c>
      <c r="G33" s="8"/>
      <c r="H33" s="24"/>
      <c r="I33" s="12"/>
    </row>
    <row r="34" spans="1:11">
      <c r="B34" s="8" t="s">
        <v>31</v>
      </c>
      <c r="C34" t="str">
        <f>Firstname&amp;" "&amp;C33&amp;" in the bottom 20 percent of "&amp;hislower&amp;" class in reading fluency."</f>
        <v xml:space="preserve"> was rated in the bottom 20 percent of her class in reading fluency.</v>
      </c>
      <c r="H34" s="23"/>
      <c r="I34" s="12"/>
      <c r="K34" s="8" t="s">
        <v>32</v>
      </c>
    </row>
    <row r="35" spans="1:11">
      <c r="H35" s="23"/>
      <c r="I35" s="12"/>
      <c r="K35" t="e">
        <f>Writing!V40</f>
        <v>#N/A</v>
      </c>
    </row>
    <row r="36" spans="1:11">
      <c r="B36" s="9" t="s">
        <v>33</v>
      </c>
      <c r="C36" t="s">
        <v>34</v>
      </c>
      <c r="G36" s="8"/>
      <c r="H36" s="24"/>
      <c r="I36" s="12"/>
    </row>
    <row r="37" spans="1:11">
      <c r="B37" s="8" t="s">
        <v>35</v>
      </c>
      <c r="C37" t="str">
        <f>Firstname&amp;" "&amp;C36&amp;" equivalent skills to "&amp;hislower&amp;" class in reading fluency. "</f>
        <v xml:space="preserve"> demonstrates equivalent skills to her class in reading fluency. </v>
      </c>
      <c r="H37" s="23"/>
      <c r="I37" s="12"/>
      <c r="K37" s="8" t="s">
        <v>36</v>
      </c>
    </row>
    <row r="38" spans="1:11">
      <c r="H38" s="23"/>
      <c r="I38" s="12"/>
      <c r="K38" t="str">
        <f>Behavior!D35</f>
        <v>Regarding behavior,  was rated as  compared to her classmates in the following areas: compliance to directions, on-task behavior, work completion, and participation.</v>
      </c>
    </row>
    <row r="39" spans="1:11">
      <c r="B39" s="9" t="s">
        <v>37</v>
      </c>
      <c r="C39" t="s">
        <v>38</v>
      </c>
      <c r="G39" s="8"/>
      <c r="H39" s="24"/>
      <c r="I39" s="12"/>
    </row>
    <row r="40" spans="1:11">
      <c r="B40" s="8" t="s">
        <v>39</v>
      </c>
      <c r="C40" t="str">
        <f>Firstname&amp;" "&amp;C39&amp;" in the top 20 percent of "&amp;hislower&amp;" class in reading fluency."</f>
        <v xml:space="preserve"> ranks in the top 20 percent of her class in reading fluency.</v>
      </c>
      <c r="H40" s="23"/>
      <c r="I40" s="12"/>
    </row>
    <row r="41" spans="1:11">
      <c r="H41" s="23"/>
      <c r="I41" s="12"/>
    </row>
    <row r="42" spans="1:11">
      <c r="B42" s="9" t="s">
        <v>40</v>
      </c>
      <c r="C42" t="s">
        <v>26</v>
      </c>
      <c r="H42" s="23"/>
      <c r="I42" s="12"/>
    </row>
    <row r="43" spans="1:11">
      <c r="B43" s="8" t="s">
        <v>41</v>
      </c>
      <c r="C43" t="str">
        <f>Firstname&amp;" "&amp;C42&amp;" in the top 10 percent of "&amp;hislower&amp;" class in reading fluency."</f>
        <v xml:space="preserve"> is in the top 10 percent of her class in reading fluency.</v>
      </c>
      <c r="H43" s="23"/>
      <c r="I43" s="12"/>
    </row>
    <row r="44" spans="1:11">
      <c r="H44" s="23"/>
    </row>
    <row r="45" spans="1:11">
      <c r="B45" s="8" t="s">
        <v>42</v>
      </c>
      <c r="H45" s="23"/>
    </row>
    <row r="46" spans="1:11">
      <c r="A46" s="23"/>
      <c r="B46" s="23"/>
      <c r="C46" s="23"/>
      <c r="D46" s="23"/>
      <c r="E46" s="23"/>
      <c r="F46" s="23"/>
      <c r="G46" s="23"/>
      <c r="H46" s="23"/>
    </row>
    <row r="48" spans="1:11" ht="18">
      <c r="C48" s="45" t="s">
        <v>43</v>
      </c>
      <c r="D48" s="46"/>
    </row>
    <row r="50" spans="2:4">
      <c r="B50" t="s">
        <v>118</v>
      </c>
    </row>
    <row r="52" spans="2:4">
      <c r="B52" s="27">
        <v>1</v>
      </c>
      <c r="C52" s="35">
        <f>C5</f>
        <v>0</v>
      </c>
    </row>
    <row r="53" spans="2:4">
      <c r="B53" s="27">
        <v>1</v>
      </c>
      <c r="C53" s="35" t="str">
        <f>", "&amp;C6&amp;","</f>
        <v>, ,</v>
      </c>
    </row>
    <row r="54" spans="2:4">
      <c r="B54" s="27">
        <v>1</v>
      </c>
      <c r="C54" s="35" t="str">
        <f>IF(E6="", "", "on "&amp;'Identifying Information'!C11&amp;"/"&amp;'Identifying Information'!C12&amp;"/"&amp;'Identifying Information'!C10&amp;" ")</f>
        <v/>
      </c>
    </row>
    <row r="56" spans="2:4">
      <c r="B56" t="s">
        <v>119</v>
      </c>
    </row>
    <row r="57" spans="2:4">
      <c r="B57" s="27"/>
      <c r="C57" s="35" t="s">
        <v>44</v>
      </c>
      <c r="D57" s="12"/>
    </row>
    <row r="58" spans="2:4">
      <c r="B58" s="27"/>
      <c r="C58" s="35" t="s">
        <v>45</v>
      </c>
    </row>
    <row r="59" spans="2:4">
      <c r="B59" s="8" t="s">
        <v>46</v>
      </c>
      <c r="C59" s="28" t="str">
        <f>Firstname&amp;"’s "&amp;IF(B52=1, C52, "")&amp;IF(B57=1, IF(B52=1, " "&amp;C57, C57), "")&amp;IF(B58=1, IF(B52=1, " "&amp;C58, C58), "")&amp;IF(AND(B52=0, B57=0, B58=0),""," ")&amp;"teacher"&amp;IF(B53=1, C53, "")&amp;" reported the following information "&amp;IF(B54=1, C54, "")&amp;"using the McIvor Abilities Checklist. "</f>
        <v xml:space="preserve">’s 0 teacher, , reported the following information using the McIvor Abilities Checklist. </v>
      </c>
    </row>
    <row r="61" spans="2:4">
      <c r="C61" t="s">
        <v>47</v>
      </c>
    </row>
    <row r="62" spans="2:4">
      <c r="C62" t="s">
        <v>47</v>
      </c>
    </row>
    <row r="65" spans="2:2">
      <c r="B65" t="s">
        <v>47</v>
      </c>
    </row>
  </sheetData>
  <mergeCells count="4">
    <mergeCell ref="C10:D10"/>
    <mergeCell ref="C48:D48"/>
    <mergeCell ref="C17:D17"/>
    <mergeCell ref="C27:D2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heetViews>
  <sheetFormatPr baseColWidth="10" defaultColWidth="8.83203125" defaultRowHeight="14" x14ac:dyDescent="0"/>
  <cols>
    <col min="4" max="4" width="69" customWidth="1"/>
    <col min="5" max="5" width="17.1640625" customWidth="1"/>
    <col min="10" max="10" width="13.1640625" bestFit="1" customWidth="1"/>
    <col min="13" max="13" width="20.1640625" customWidth="1"/>
  </cols>
  <sheetData>
    <row r="1" spans="1:25">
      <c r="A1" s="8" t="s">
        <v>48</v>
      </c>
    </row>
    <row r="2" spans="1:25" ht="15" thickBot="1">
      <c r="C2" s="7"/>
      <c r="D2" s="7"/>
      <c r="E2" s="7"/>
      <c r="F2" s="7"/>
    </row>
    <row r="3" spans="1:25" ht="15" thickBot="1">
      <c r="C3" s="7"/>
      <c r="D3" s="1" t="s">
        <v>49</v>
      </c>
      <c r="E3" s="10" t="s">
        <v>50</v>
      </c>
      <c r="F3" s="7"/>
      <c r="J3" s="8" t="s">
        <v>49</v>
      </c>
      <c r="K3" s="8">
        <v>1</v>
      </c>
      <c r="L3" s="8">
        <v>2</v>
      </c>
      <c r="M3" s="8">
        <v>3</v>
      </c>
      <c r="N3" s="8">
        <v>4</v>
      </c>
      <c r="O3" s="8">
        <v>5</v>
      </c>
      <c r="R3" s="9">
        <v>2</v>
      </c>
      <c r="S3">
        <f>IF(OR(AND(K27=2, K23=1), AND(L27=2,L23=1), AND(M27=2, M23=1), AND(N27=2, N23=1), AND(O27=2, O23=1)), 1, 0)</f>
        <v>0</v>
      </c>
      <c r="T3" t="str">
        <f>Overview!B13</f>
        <v>identifying words</v>
      </c>
      <c r="W3" t="str">
        <f>IF(S3=1,T3,IF(S6=1,T6,T5))</f>
        <v>comprehension</v>
      </c>
    </row>
    <row r="4" spans="1:25" ht="15" thickBot="1">
      <c r="C4" s="7"/>
      <c r="D4" s="3" t="str">
        <f>Overview!K5</f>
        <v>Student’s ability to identify words compared to classmates</v>
      </c>
      <c r="E4" s="3">
        <f>Overview!L5</f>
        <v>0</v>
      </c>
      <c r="F4" s="7"/>
      <c r="G4" t="s">
        <v>47</v>
      </c>
      <c r="K4" t="str">
        <f>IF(reading1=1, IdentifyingWords, "")</f>
        <v/>
      </c>
      <c r="L4" t="str">
        <f>IF(reading1=2, IdentifyingWords, "")</f>
        <v/>
      </c>
      <c r="M4" t="str">
        <f>IF(reading1=3, IdentifyingWords, "")</f>
        <v/>
      </c>
      <c r="N4" t="str">
        <f>IF(reading1=4, IdentifyingWords, "")</f>
        <v/>
      </c>
      <c r="O4" t="str">
        <f>IF(reading1=5, IdentifyingWords, "")</f>
        <v/>
      </c>
      <c r="R4" s="8"/>
      <c r="S4">
        <f>IF(OR(AND(K27=2, K24=1), AND(L27=2,L24=1), AND(M27=2, M24=1), AND(N27=2, N24=1), AND(O27=2, O24=1)), 1, 0)</f>
        <v>0</v>
      </c>
      <c r="T4" t="str">
        <f>Overview!B14</f>
        <v>fluency</v>
      </c>
      <c r="W4" t="str">
        <f>IF(S4=1,T4,IF(S5=1,T5, T6))</f>
        <v>vocabulary</v>
      </c>
    </row>
    <row r="5" spans="1:25" ht="15" thickBot="1">
      <c r="C5" s="7"/>
      <c r="D5" s="3" t="str">
        <f>Overview!K6</f>
        <v>Student’s reading fluency compared to classmates</v>
      </c>
      <c r="E5" s="3">
        <f>Overview!L6</f>
        <v>0</v>
      </c>
      <c r="F5" s="7"/>
      <c r="J5" s="8"/>
      <c r="K5" t="str">
        <f>IF(Reading2=1, ReadingFluency, "")</f>
        <v/>
      </c>
      <c r="L5" t="str">
        <f>IF(Reading2=2, ReadingFluency, "")</f>
        <v/>
      </c>
      <c r="M5" t="str">
        <f>IF(Reading2=3, ReadingFluency, "")</f>
        <v/>
      </c>
      <c r="N5" t="str">
        <f>IF(Reading2=4, ReadingFluency, "")</f>
        <v/>
      </c>
      <c r="O5" t="str">
        <f>IF(Reading2=5, ReadingFluency, "")</f>
        <v/>
      </c>
      <c r="R5" s="8"/>
      <c r="S5">
        <f>IF(OR(AND(K27=2, K25=1), AND(L27=2,L25=1), AND(M27=2, M25=1), AND(N27=2, N25=1), AND(O27=2, O25=1)), 1, 0)</f>
        <v>0</v>
      </c>
      <c r="T5" t="str">
        <f>Overview!B15</f>
        <v>comprehension</v>
      </c>
    </row>
    <row r="6" spans="1:25" ht="15" thickBot="1">
      <c r="C6" s="7"/>
      <c r="D6" s="3" t="str">
        <f>Overview!K7</f>
        <v>Student’s reading comprehension compared to classmates</v>
      </c>
      <c r="E6" s="3">
        <f>Overview!L7</f>
        <v>0</v>
      </c>
      <c r="F6" s="7"/>
      <c r="J6" s="8"/>
      <c r="K6" t="str">
        <f>IF(reading3=1, readingcomprehension,"")</f>
        <v/>
      </c>
      <c r="L6" t="str">
        <f>IF(reading3=2, readingcomprehension,"")</f>
        <v/>
      </c>
      <c r="M6" t="str">
        <f>IF(reading3=3, readingcomprehension,"")</f>
        <v/>
      </c>
      <c r="N6" t="str">
        <f>IF(reading3=4, readingcomprehension,"")</f>
        <v/>
      </c>
      <c r="O6" t="str">
        <f>IF(reading3=5, readingcomprehension,"")</f>
        <v/>
      </c>
      <c r="R6" s="8"/>
      <c r="S6">
        <f>IF(OR(AND(K27=2, K26=1), AND(L27=2,L26=1), AND(M27=2, M26=1), AND(N27=2, N26=1), AND(O27=2, O26=1)), 1, 0)</f>
        <v>0</v>
      </c>
      <c r="T6" t="str">
        <f>Overview!B16</f>
        <v>vocabulary</v>
      </c>
    </row>
    <row r="7" spans="1:25" ht="15" thickBot="1">
      <c r="C7" s="7"/>
      <c r="D7" s="3" t="str">
        <f>Overview!K8</f>
        <v>Student’s vocabulary compared to classmates</v>
      </c>
      <c r="E7" s="3">
        <f>Overview!L8</f>
        <v>0</v>
      </c>
      <c r="F7" s="7"/>
      <c r="J7" s="8"/>
      <c r="K7" t="str">
        <f>IF(reading4=1, vocabulary, "")</f>
        <v/>
      </c>
      <c r="L7" t="str">
        <f>IF(reading4=2, vocabulary, "")</f>
        <v/>
      </c>
      <c r="M7" t="str">
        <f>IF(reading4=3, vocabulary, "")</f>
        <v/>
      </c>
      <c r="N7" t="str">
        <f>IF(reading4=4, vocabulary, "")</f>
        <v/>
      </c>
      <c r="O7" t="str">
        <f>IF(reading4=5, vocabulary, "")</f>
        <v/>
      </c>
      <c r="R7" s="8"/>
    </row>
    <row r="8" spans="1:25" ht="15" thickBot="1">
      <c r="C8" s="7"/>
      <c r="D8" s="3" t="str">
        <f>Overview!K9</f>
        <v>Student’s overall reading abilities compared to classmates</v>
      </c>
      <c r="E8" s="3">
        <f>Overview!L9</f>
        <v>0</v>
      </c>
      <c r="F8" s="7"/>
      <c r="J8" s="8"/>
      <c r="R8" s="9">
        <v>3</v>
      </c>
      <c r="S8">
        <f>IF(OR(AND(K27=3, K23=1), AND(L27=3,L23=1), AND(M27=3, M23=1), AND(N27=3, N23=1), AND(O27=3, O23=1)), 1, 0)</f>
        <v>0</v>
      </c>
      <c r="T8" t="str">
        <f>IdentifyingWords</f>
        <v>identifying words</v>
      </c>
      <c r="W8" t="str">
        <f>IF(S8=1, T8, T9)</f>
        <v>fluency</v>
      </c>
    </row>
    <row r="9" spans="1:25" ht="15" thickBot="1">
      <c r="C9" s="7"/>
      <c r="D9" s="5" t="s">
        <v>51</v>
      </c>
      <c r="E9" s="11" t="s">
        <v>50</v>
      </c>
      <c r="F9" s="7"/>
      <c r="J9" s="8"/>
      <c r="S9">
        <f>IF(OR(AND(K27=3, K24=1), AND(L27=3,L24=1), AND(M27=3, M24=1), AND(N27=3, N24=1), AND(O27=3, O24=1)), 1, 0)</f>
        <v>0</v>
      </c>
      <c r="T9" t="str">
        <f>ReadingFluency</f>
        <v>fluency</v>
      </c>
      <c r="W9" t="str">
        <f>IF(AND(S8=1, S9=1), T9, T10)</f>
        <v>comprehension</v>
      </c>
    </row>
    <row r="10" spans="1:25" ht="15" thickBot="1">
      <c r="C10" s="7"/>
      <c r="D10" s="3" t="str">
        <f>Overview!K11</f>
        <v>Student’s computation skills compared to classmates</v>
      </c>
      <c r="E10" s="18">
        <f>Overview!L11</f>
        <v>0</v>
      </c>
      <c r="F10" s="7"/>
      <c r="H10" t="s">
        <v>47</v>
      </c>
      <c r="J10" s="8"/>
      <c r="S10">
        <f>IF(OR(AND(K27=3, K25=1), AND(L27=3,L25=1), AND(M27=3, M25=1), AND(N27=3, N25=1), AND(O27=3, O25=1)), 1, 0)</f>
        <v>0</v>
      </c>
      <c r="T10" t="str">
        <f>readingcomprehension</f>
        <v>comprehension</v>
      </c>
      <c r="W10" t="str">
        <f>IF(AND(S8=1, S9=1, S10=1), T10, T11)</f>
        <v>vocabulary</v>
      </c>
    </row>
    <row r="11" spans="1:25" ht="15" thickBot="1">
      <c r="C11" s="7"/>
      <c r="D11" s="3" t="str">
        <f>Overview!K12</f>
        <v>Student’s math fluency compared to classmates</v>
      </c>
      <c r="E11" s="18">
        <f>Overview!L12</f>
        <v>0</v>
      </c>
      <c r="F11" s="7"/>
      <c r="I11" t="s">
        <v>52</v>
      </c>
      <c r="J11" s="8" t="s">
        <v>53</v>
      </c>
      <c r="K11" t="s">
        <v>54</v>
      </c>
      <c r="L11" t="s">
        <v>55</v>
      </c>
      <c r="S11">
        <f>IF(OR(AND(K27=3, K26=1), AND(L27=3,L26=1), AND(M27=3, M26=1), AND(N27=3, N26=1), AND(O27=3, O26=1)), 1, 0)</f>
        <v>0</v>
      </c>
      <c r="T11" t="str">
        <f>vocabulary</f>
        <v>vocabulary</v>
      </c>
    </row>
    <row r="12" spans="1:25" ht="15" thickBot="1">
      <c r="C12" s="7"/>
      <c r="D12" s="3" t="str">
        <f>Overview!K13</f>
        <v>Student’s ability to solve word problems compared to classmates</v>
      </c>
      <c r="E12" s="18">
        <f>Overview!L13</f>
        <v>0</v>
      </c>
      <c r="F12" s="7"/>
      <c r="H12" t="s">
        <v>52</v>
      </c>
      <c r="I12" t="s">
        <v>56</v>
      </c>
      <c r="J12" s="8">
        <f>IF(reading1=Reading2, reading1, "")</f>
        <v>0</v>
      </c>
      <c r="K12">
        <f>IF(reading1=reading3, reading1, "")</f>
        <v>0</v>
      </c>
      <c r="L12">
        <f>IF(reading1=reading4, reading1, "")</f>
        <v>0</v>
      </c>
      <c r="N12" t="str">
        <f>IF(AND(1&lt;=J12, J12&lt;=5), Firstname&amp;" "&amp;VLOOKUP(J12,vlookreading, 2)&amp;IdentifyingWords&amp;" and "&amp;ReadingFluency&amp;". ", "")</f>
        <v/>
      </c>
      <c r="O12" t="str">
        <f>IF(AND(1&lt;=K12, K12&lt;=5), Firstname&amp;" "&amp;VLOOKUP(K12,vlookreading, 2)&amp;IdentifyingWords&amp;" and "&amp;readingcomprehension&amp;". ", "")</f>
        <v/>
      </c>
      <c r="P12" t="str">
        <f>IF(AND(1&lt;=L12, L12&lt;=5), Firstname&amp;" "&amp;VLOOKUP(L12,vlookreading, 2)&amp;IdentifyingWords&amp;" and "&amp;vocabulary&amp;". ", "")</f>
        <v/>
      </c>
    </row>
    <row r="13" spans="1:25" ht="15" thickBot="1">
      <c r="C13" s="7"/>
      <c r="D13" s="3" t="str">
        <f>Overview!K14</f>
        <v>Student’s overall math abilities compared to classmates</v>
      </c>
      <c r="E13" s="18">
        <f>Overview!L14</f>
        <v>0</v>
      </c>
      <c r="F13" s="7"/>
      <c r="H13" t="s">
        <v>53</v>
      </c>
      <c r="I13" t="s">
        <v>57</v>
      </c>
      <c r="J13" s="8" t="s">
        <v>56</v>
      </c>
      <c r="K13">
        <f>IF(Reading2=reading3, Reading2, "")</f>
        <v>0</v>
      </c>
      <c r="L13">
        <f>IF(Reading2=reading4, Reading2,"")</f>
        <v>0</v>
      </c>
      <c r="O13" t="str">
        <f>IF(AND(1&lt;=K13, K13&lt;=5), He&amp;" "&amp;VLOOKUP(K13,vlookreading, 2)&amp;ReadingFluency&amp;" and "&amp;readingcomprehension&amp;". ", "")</f>
        <v/>
      </c>
      <c r="P13" t="str">
        <f>IF(AND(1&lt;=L13, L13&lt;=5), He&amp;" "&amp;VLOOKUP(L13,vlookreading, 2)&amp;ReadingFluency&amp;" and "&amp;vocabulary&amp;". ", "")</f>
        <v/>
      </c>
    </row>
    <row r="14" spans="1:25" ht="15" thickBot="1">
      <c r="A14" t="s">
        <v>47</v>
      </c>
      <c r="C14" s="7"/>
      <c r="D14" s="5" t="s">
        <v>58</v>
      </c>
      <c r="E14" s="11" t="s">
        <v>50</v>
      </c>
      <c r="F14" s="7"/>
      <c r="H14" t="s">
        <v>54</v>
      </c>
      <c r="I14" t="s">
        <v>57</v>
      </c>
      <c r="J14" s="8" t="s">
        <v>57</v>
      </c>
      <c r="K14" t="s">
        <v>56</v>
      </c>
      <c r="L14">
        <f>IF(reading3=reading4, reading3, "")</f>
        <v>0</v>
      </c>
      <c r="P14" t="str">
        <f>IF(AND(1&lt;=L14, L14&lt;=5), He&amp;" "&amp;VLOOKUP(L14,vlookreading, 2)&amp;readingcomprehension&amp;" and "&amp;vocabulary&amp;". ", "")</f>
        <v/>
      </c>
      <c r="T14" t="s">
        <v>47</v>
      </c>
    </row>
    <row r="15" spans="1:25" ht="15" thickBot="1">
      <c r="C15" s="7"/>
      <c r="D15" s="3" t="str">
        <f>Overview!K16</f>
        <v>Student’s written content compared to classmates</v>
      </c>
      <c r="E15" s="18">
        <f>Overview!L16</f>
        <v>0</v>
      </c>
      <c r="F15" s="7"/>
      <c r="H15" t="s">
        <v>55</v>
      </c>
      <c r="I15" t="s">
        <v>57</v>
      </c>
      <c r="J15" s="8" t="s">
        <v>57</v>
      </c>
      <c r="K15" t="s">
        <v>57</v>
      </c>
      <c r="L15" t="s">
        <v>56</v>
      </c>
      <c r="X15">
        <v>1</v>
      </c>
      <c r="Y15" t="s">
        <v>59</v>
      </c>
    </row>
    <row r="16" spans="1:25" ht="15" thickBot="1">
      <c r="C16" s="7"/>
      <c r="D16" s="3" t="str">
        <f>Overview!K17</f>
        <v>Student’s spelling compared to classmates</v>
      </c>
      <c r="E16" s="18">
        <f>Overview!L17</f>
        <v>0</v>
      </c>
      <c r="F16" s="7"/>
      <c r="H16">
        <v>1</v>
      </c>
      <c r="I16" t="str">
        <f>is&amp;" in the bottom 10 percent of "&amp;hislower&amp;" class in "</f>
        <v xml:space="preserve">is in the bottom 10 percent of her class in </v>
      </c>
      <c r="J16" s="8"/>
      <c r="M16" s="32"/>
      <c r="X16">
        <v>2</v>
      </c>
      <c r="Y16" t="s">
        <v>60</v>
      </c>
    </row>
    <row r="17" spans="3:27" ht="15" thickBot="1">
      <c r="C17" s="7"/>
      <c r="D17" s="3" t="str">
        <f>Overview!K18</f>
        <v>Student’s grammar compared to classmates</v>
      </c>
      <c r="E17" s="18">
        <f>Overview!L18</f>
        <v>0</v>
      </c>
      <c r="F17" s="7"/>
      <c r="H17">
        <v>2</v>
      </c>
      <c r="I17" t="str">
        <f>wasrated&amp;" in the bottom 20 percent of "&amp;hislower&amp;" class in "</f>
        <v xml:space="preserve">was rated in the bottom 20 percent of her class in </v>
      </c>
      <c r="J17" s="8"/>
      <c r="M17" s="32"/>
      <c r="X17">
        <v>3</v>
      </c>
      <c r="Y17" t="s">
        <v>61</v>
      </c>
    </row>
    <row r="18" spans="3:27" ht="15" thickBot="1">
      <c r="C18" s="7"/>
      <c r="D18" s="3" t="str">
        <f>Overview!K19</f>
        <v>Student’s punctuation compared to classmates</v>
      </c>
      <c r="E18" s="18">
        <f>Overview!L19</f>
        <v>0</v>
      </c>
      <c r="F18" s="7"/>
      <c r="H18">
        <v>3</v>
      </c>
      <c r="I18" t="str">
        <f>demonstratesskills&amp;" equivalent skills to "&amp;hislower&amp;" class in "</f>
        <v xml:space="preserve">demonstrates equivalent skills to her class in </v>
      </c>
      <c r="J18" s="8"/>
      <c r="M18" s="32"/>
      <c r="X18">
        <v>4</v>
      </c>
      <c r="Y18" t="s">
        <v>62</v>
      </c>
    </row>
    <row r="19" spans="3:27" ht="15" thickBot="1">
      <c r="C19" s="7"/>
      <c r="D19" s="3" t="str">
        <f>Overview!K20</f>
        <v>Student’s overall writing abilities compared to classmates</v>
      </c>
      <c r="E19" s="18">
        <f>Overview!L20</f>
        <v>0</v>
      </c>
      <c r="F19" s="7"/>
      <c r="H19">
        <v>4</v>
      </c>
      <c r="I19" t="str">
        <f>ranks&amp;" in the top 20 percent of "&amp;hislower&amp;" class in "</f>
        <v xml:space="preserve">ranks in the top 20 percent of her class in </v>
      </c>
      <c r="J19" s="8"/>
      <c r="M19" s="32"/>
      <c r="X19">
        <v>5</v>
      </c>
      <c r="Y19" t="s">
        <v>63</v>
      </c>
    </row>
    <row r="20" spans="3:27" ht="15" thickBot="1">
      <c r="C20" s="7"/>
      <c r="D20" s="5" t="s">
        <v>64</v>
      </c>
      <c r="E20" s="11" t="s">
        <v>65</v>
      </c>
      <c r="F20" s="7"/>
      <c r="H20">
        <v>5</v>
      </c>
      <c r="I20" t="str">
        <f>istop10&amp;" in the top 10 percent of "&amp;hislower&amp;" class in "</f>
        <v xml:space="preserve">is in the top 10 percent of her class in </v>
      </c>
      <c r="J20" s="8"/>
      <c r="M20" s="32"/>
    </row>
    <row r="21" spans="3:27" ht="15" thickBot="1">
      <c r="C21" s="7"/>
      <c r="D21" s="3" t="str">
        <f>Overview!K22</f>
        <v>Student’s compliance to directions compared to classmates</v>
      </c>
      <c r="E21" s="18">
        <f>Overview!L22</f>
        <v>0</v>
      </c>
      <c r="F21" s="7"/>
      <c r="J21" s="8"/>
    </row>
    <row r="22" spans="3:27" ht="15" thickBot="1">
      <c r="C22" s="7"/>
      <c r="D22" s="3" t="str">
        <f>Overview!K23</f>
        <v>Student’s on-task behavior compared to classmates</v>
      </c>
      <c r="E22" s="18">
        <f>Overview!L23</f>
        <v>0</v>
      </c>
      <c r="F22" s="7"/>
      <c r="J22" s="8"/>
      <c r="K22" s="8">
        <v>1</v>
      </c>
      <c r="L22" s="8">
        <v>2</v>
      </c>
      <c r="M22" s="8">
        <v>3</v>
      </c>
      <c r="N22" s="8">
        <v>4</v>
      </c>
      <c r="O22" s="8">
        <v>5</v>
      </c>
    </row>
    <row r="23" spans="3:27" ht="15" thickBot="1">
      <c r="C23" s="7"/>
      <c r="D23" s="3" t="str">
        <f>Overview!K24</f>
        <v>Student’s work completion compared to classmates</v>
      </c>
      <c r="E23" s="18">
        <f>Overview!L24</f>
        <v>0</v>
      </c>
      <c r="F23" s="7"/>
      <c r="J23" s="8"/>
      <c r="K23" t="str">
        <f>IF(K4=IdentifyingWords, 1, "")</f>
        <v/>
      </c>
      <c r="L23" t="str">
        <f>IF(L4=IdentifyingWords, 1, "")</f>
        <v/>
      </c>
      <c r="M23" t="str">
        <f>IF(M4=IdentifyingWords, 1, "")</f>
        <v/>
      </c>
      <c r="N23" t="str">
        <f>IF(N4=IdentifyingWords, 1, "")</f>
        <v/>
      </c>
      <c r="O23" t="str">
        <f>IF(O4=IdentifyingWords, 1, "")</f>
        <v/>
      </c>
      <c r="AA23" t="e">
        <f>His&amp;" overall reading abilities are "&amp;VLOOKUP(E8, X15:Y19, 2)</f>
        <v>#N/A</v>
      </c>
    </row>
    <row r="24" spans="3:27" ht="15" thickBot="1">
      <c r="C24" s="7"/>
      <c r="D24" s="3" t="str">
        <f>Overview!K25</f>
        <v>Student’s participation compared to classmates</v>
      </c>
      <c r="E24" s="18">
        <f>Overview!L25</f>
        <v>0</v>
      </c>
      <c r="F24" s="7"/>
      <c r="J24" s="8"/>
      <c r="K24" t="str">
        <f>IF(K5=ReadingFluency, 1, "")</f>
        <v/>
      </c>
      <c r="L24" t="str">
        <f>IF(L5=ReadingFluency, 1, "")</f>
        <v/>
      </c>
      <c r="M24" t="str">
        <f>IF(M5=ReadingFluency, 1, "")</f>
        <v/>
      </c>
      <c r="N24" t="str">
        <f>IF(N5=ReadingFluency, 1, "")</f>
        <v/>
      </c>
      <c r="O24" t="str">
        <f>IF(O5=ReadingFluency, 1, "")</f>
        <v/>
      </c>
    </row>
    <row r="25" spans="3:27">
      <c r="C25" s="7"/>
      <c r="D25" s="17"/>
      <c r="E25" s="17"/>
      <c r="F25" s="7"/>
      <c r="J25" s="8"/>
      <c r="K25" t="str">
        <f>IF(K6=readingcomprehension, 1, "")</f>
        <v/>
      </c>
      <c r="L25" t="str">
        <f>IF(L6=readingcomprehension, 1, "")</f>
        <v/>
      </c>
      <c r="M25" t="str">
        <f>IF(M6=readingcomprehension, 1, "")</f>
        <v/>
      </c>
      <c r="N25" t="str">
        <f>IF(N6=readingcomprehension, 1, "")</f>
        <v/>
      </c>
      <c r="O25" t="str">
        <f>IF(O6=readingcomprehension, 1, "")</f>
        <v/>
      </c>
    </row>
    <row r="26" spans="3:27">
      <c r="C26" s="12"/>
      <c r="D26" s="12"/>
      <c r="E26" s="12"/>
      <c r="F26" s="12"/>
      <c r="J26" s="8"/>
      <c r="K26" t="str">
        <f>IF(K7=vocabulary, 1, "")</f>
        <v/>
      </c>
      <c r="L26" t="str">
        <f>IF(L7=vocabulary, 1, "")</f>
        <v/>
      </c>
      <c r="M26" t="str">
        <f>IF(M7=vocabulary, 1, "")</f>
        <v/>
      </c>
      <c r="N26" t="str">
        <f>IF(N7=vocabulary, 1, "")</f>
        <v/>
      </c>
      <c r="O26" t="str">
        <f>IF(O7=vocabulary, 1, "")</f>
        <v/>
      </c>
    </row>
    <row r="27" spans="3:27">
      <c r="J27" s="8" t="s">
        <v>66</v>
      </c>
      <c r="K27">
        <f t="shared" ref="K27:M27" si="0">SUM(K23:K26)</f>
        <v>0</v>
      </c>
      <c r="L27">
        <f t="shared" si="0"/>
        <v>0</v>
      </c>
      <c r="M27">
        <f t="shared" si="0"/>
        <v>0</v>
      </c>
      <c r="N27">
        <f t="shared" ref="N27:O27" si="1">SUM(N23:N26)</f>
        <v>0</v>
      </c>
      <c r="O27">
        <f t="shared" si="1"/>
        <v>0</v>
      </c>
      <c r="Q27" t="s">
        <v>67</v>
      </c>
      <c r="R27">
        <f>COUNTIF(K27:O27, 2)</f>
        <v>0</v>
      </c>
    </row>
    <row r="28" spans="3:27">
      <c r="J28" s="8"/>
      <c r="K28" s="7"/>
      <c r="L28" s="7"/>
      <c r="M28" s="7"/>
      <c r="N28" s="7"/>
      <c r="O28" s="7"/>
      <c r="P28" s="7"/>
      <c r="V28" t="s">
        <v>47</v>
      </c>
    </row>
    <row r="29" spans="3:27">
      <c r="J29" s="8" t="s">
        <v>68</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c r="H32" t="s">
        <v>47</v>
      </c>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69</v>
      </c>
      <c r="V32" t="str">
        <f>IF(R27=2, N12&amp;O12&amp;P12&amp;O13&amp;P13&amp;P14&amp;AA23, "")</f>
        <v/>
      </c>
    </row>
    <row r="33" spans="4:22">
      <c r="J33" t="s">
        <v>70</v>
      </c>
      <c r="K33" t="str">
        <f>K29&amp;K30&amp;K31&amp;K32</f>
        <v/>
      </c>
      <c r="L33" t="str">
        <f t="shared" ref="L33:O33" si="2">L29&amp;L30&amp;L31&amp;L32</f>
        <v/>
      </c>
      <c r="M33" t="str">
        <f t="shared" si="2"/>
        <v/>
      </c>
      <c r="N33" t="str">
        <f t="shared" si="2"/>
        <v/>
      </c>
      <c r="O33" t="str">
        <f t="shared" si="2"/>
        <v/>
      </c>
      <c r="S33" t="s">
        <v>69</v>
      </c>
      <c r="V33" t="e">
        <f>IF(R27=2, "",K44&amp;L44&amp;M44&amp;N44&amp;O44&amp;AA23)</f>
        <v>#N/A</v>
      </c>
    </row>
    <row r="35" spans="4:22">
      <c r="J35" s="8"/>
      <c r="K35">
        <v>1</v>
      </c>
      <c r="L35">
        <v>2</v>
      </c>
      <c r="M35">
        <v>3</v>
      </c>
      <c r="N35">
        <v>4</v>
      </c>
      <c r="O35">
        <v>5</v>
      </c>
    </row>
    <row r="36" spans="4:22">
      <c r="D36" t="s">
        <v>47</v>
      </c>
      <c r="J36" s="8" t="s">
        <v>71</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c r="J40" t="s">
        <v>70</v>
      </c>
      <c r="L40" t="str">
        <f>L36&amp;L37&amp;L38&amp;L39</f>
        <v/>
      </c>
      <c r="M40" t="str">
        <f>M36&amp;M37&amp;M38&amp;M39</f>
        <v/>
      </c>
      <c r="N40" t="str">
        <f>N36&amp;N37&amp;N38&amp;N39</f>
        <v/>
      </c>
      <c r="O40" t="str">
        <f>O36&amp;O37&amp;O38&amp;O39</f>
        <v/>
      </c>
      <c r="U40" t="s">
        <v>72</v>
      </c>
      <c r="V40" t="e">
        <f>"Regarding reading, "&amp;V32&amp;V33</f>
        <v>#N/A</v>
      </c>
    </row>
    <row r="42" spans="4:22">
      <c r="Q42" t="s">
        <v>47</v>
      </c>
    </row>
    <row r="44" spans="4:22">
      <c r="J44" t="s">
        <v>73</v>
      </c>
      <c r="K44" t="str">
        <f>K33</f>
        <v/>
      </c>
      <c r="L44" t="str">
        <f>IF(OR(K27=1,K27=2,K27=3),L40,L33)</f>
        <v/>
      </c>
      <c r="M44" t="str">
        <f>IF(OR(K27=1,K27=2,K27=3,L27=1,L27=2,L27=3),M40,M33)</f>
        <v/>
      </c>
      <c r="N44" t="str">
        <f>IF(OR(K27=1, K27=2, K27=3, L27=1, L27=2, L27=3, M27=1, M27=2, M27=3), N40, N33)</f>
        <v/>
      </c>
      <c r="O44" t="str">
        <f>IF(OR(K27=1,K27=2,K27=3,L27=1,L27=2,L27=3,M27=1,M27=2,M27=3,N27=1,N27=2,N27=3),O40,O33)</f>
        <v/>
      </c>
    </row>
    <row r="48" spans="4:22">
      <c r="H48" t="s">
        <v>47</v>
      </c>
    </row>
    <row r="49" spans="9:14">
      <c r="I49" t="s">
        <v>47</v>
      </c>
      <c r="L49">
        <v>0</v>
      </c>
      <c r="N49">
        <v>4</v>
      </c>
    </row>
    <row r="52" spans="9:14">
      <c r="N52" t="str">
        <f>IF(AND(OR(AND(1&lt;=L49, L49&lt;=5), AND(1&lt;=M49, M49&lt;=5)), AND(1&lt;=N49, N49&lt;=5)),N49,"")</f>
        <v/>
      </c>
    </row>
    <row r="63" spans="9:14">
      <c r="J63" t="s">
        <v>74</v>
      </c>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baseColWidth="10" defaultColWidth="8.83203125" defaultRowHeight="14" x14ac:dyDescent="0"/>
  <cols>
    <col min="4" max="4" width="73.83203125" customWidth="1"/>
    <col min="5" max="5" width="18.33203125" customWidth="1"/>
    <col min="10" max="10" width="13.1640625" bestFit="1" customWidth="1"/>
    <col min="13" max="13" width="20.1640625" customWidth="1"/>
  </cols>
  <sheetData>
    <row r="1" spans="1:25">
      <c r="A1" s="8" t="s">
        <v>48</v>
      </c>
    </row>
    <row r="2" spans="1:25" ht="15" thickBot="1">
      <c r="C2" s="7"/>
      <c r="D2" s="7"/>
      <c r="E2" s="7"/>
      <c r="F2" s="7"/>
    </row>
    <row r="3" spans="1:25" ht="15" thickBot="1">
      <c r="C3" s="7"/>
      <c r="D3" s="1" t="s">
        <v>49</v>
      </c>
      <c r="E3" s="2"/>
      <c r="F3" s="7"/>
      <c r="J3" s="8" t="s">
        <v>51</v>
      </c>
      <c r="K3" s="8">
        <v>1</v>
      </c>
      <c r="L3" s="8">
        <v>2</v>
      </c>
      <c r="M3" s="8">
        <v>3</v>
      </c>
      <c r="N3" s="8">
        <v>4</v>
      </c>
      <c r="O3" s="8">
        <v>5</v>
      </c>
      <c r="R3" s="9">
        <v>2</v>
      </c>
      <c r="S3">
        <f>IF(OR(AND(K27=2, K23=1), AND(L27=2,L23=1), AND(M27=2, M23=1), AND(N27=2, N23=1), AND(O27=2, O23=1)), 1, 0)</f>
        <v>0</v>
      </c>
      <c r="T3" t="str">
        <f>Overview!C13</f>
        <v>computation</v>
      </c>
      <c r="W3" t="str">
        <f>IF(S3=1,T3,IF(S6=1,T6,T5))</f>
        <v>solving word problems</v>
      </c>
    </row>
    <row r="4" spans="1:25" ht="15" thickBot="1">
      <c r="C4" s="7"/>
      <c r="D4" s="3" t="s">
        <v>75</v>
      </c>
      <c r="E4" s="4">
        <v>2</v>
      </c>
      <c r="F4" s="7"/>
      <c r="K4" t="str">
        <f>IF(Math1=1, computation, "")</f>
        <v/>
      </c>
      <c r="L4" t="str">
        <f>IF(Math1=2, computation, "")</f>
        <v/>
      </c>
      <c r="M4" t="str">
        <f>IF(Math1=3, computation, "")</f>
        <v/>
      </c>
      <c r="N4" t="str">
        <f>IF(Math1=4, computation, "")</f>
        <v/>
      </c>
      <c r="O4" t="str">
        <f>IF(Math1=5, computation, "")</f>
        <v/>
      </c>
      <c r="R4" s="8"/>
      <c r="S4">
        <f>IF(OR(AND(K27=2, K24=1), AND(L27=2,L24=1), AND(M27=2, M24=1), AND(N27=2, N24=1), AND(O27=2, O24=1)), 1, 0)</f>
        <v>0</v>
      </c>
      <c r="T4" t="str">
        <f>Overview!C14</f>
        <v>fluency</v>
      </c>
      <c r="W4">
        <f>IF(S4=1,T4,IF(S5=1,T5, T6))</f>
        <v>0</v>
      </c>
    </row>
    <row r="5" spans="1:25" ht="15" thickBot="1">
      <c r="C5" s="7"/>
      <c r="D5" s="3" t="s">
        <v>76</v>
      </c>
      <c r="E5" s="4">
        <v>2</v>
      </c>
      <c r="F5" s="7"/>
      <c r="J5" s="8"/>
      <c r="K5" t="str">
        <f>IF(Math2=1, mathfluency, "")</f>
        <v/>
      </c>
      <c r="L5" t="str">
        <f>IF(Math2=2, mathfluency, "")</f>
        <v/>
      </c>
      <c r="M5" t="str">
        <f>IF(Math2=3, mathfluency, "")</f>
        <v/>
      </c>
      <c r="N5" t="str">
        <f>IF(Math2=4, mathfluency, "")</f>
        <v/>
      </c>
      <c r="O5" t="str">
        <f>IF(Math2=5, mathfluency, "")</f>
        <v/>
      </c>
      <c r="R5" s="8"/>
      <c r="S5">
        <f>IF(OR(AND(K27=2, K25=1), AND(L27=2,L25=1), AND(M27=2, M25=1), AND(N27=2, N25=1), AND(O27=2, O25=1)), 1, 0)</f>
        <v>0</v>
      </c>
      <c r="T5" t="str">
        <f>Overview!C15</f>
        <v>solving word problems</v>
      </c>
    </row>
    <row r="6" spans="1:25" ht="15" thickBot="1">
      <c r="C6" s="7"/>
      <c r="D6" s="3" t="s">
        <v>77</v>
      </c>
      <c r="E6" s="4">
        <v>2</v>
      </c>
      <c r="F6" s="7"/>
      <c r="J6" s="8"/>
      <c r="K6" t="str">
        <f>IF(Math3=1, wordproblems,"")</f>
        <v/>
      </c>
      <c r="L6" t="str">
        <f>IF(Math3=2, wordproblems,"")</f>
        <v/>
      </c>
      <c r="M6" t="str">
        <f>IF(Math3=3, wordproblems,"")</f>
        <v/>
      </c>
      <c r="N6" t="str">
        <f>IF(Math3=4, wordproblems,"")</f>
        <v/>
      </c>
      <c r="O6" t="str">
        <f>IF(Math3=5, wordproblems,"")</f>
        <v/>
      </c>
      <c r="R6" s="8"/>
    </row>
    <row r="7" spans="1:25" ht="15" thickBot="1">
      <c r="C7" s="7"/>
      <c r="D7" s="3" t="s">
        <v>78</v>
      </c>
      <c r="E7" s="4">
        <v>4</v>
      </c>
      <c r="F7" s="7"/>
      <c r="J7" s="8"/>
      <c r="R7" s="8"/>
    </row>
    <row r="8" spans="1:25" ht="15" thickBot="1">
      <c r="C8" s="7"/>
      <c r="D8" s="3" t="s">
        <v>79</v>
      </c>
      <c r="E8" s="4">
        <v>3</v>
      </c>
      <c r="F8" s="7"/>
      <c r="J8" s="8"/>
      <c r="R8" s="9"/>
    </row>
    <row r="9" spans="1:25" ht="15" thickBot="1">
      <c r="C9" s="7"/>
      <c r="D9" s="5" t="s">
        <v>51</v>
      </c>
      <c r="E9" s="6"/>
      <c r="F9" s="7"/>
      <c r="J9" s="8"/>
    </row>
    <row r="10" spans="1:25" ht="15" thickBot="1">
      <c r="C10" s="7"/>
      <c r="D10" s="3" t="s">
        <v>80</v>
      </c>
      <c r="E10" s="4">
        <f>Reading!E10</f>
        <v>0</v>
      </c>
      <c r="F10" s="7"/>
      <c r="J10" s="8"/>
    </row>
    <row r="11" spans="1:25" ht="15" thickBot="1">
      <c r="C11" s="7"/>
      <c r="D11" s="3" t="s">
        <v>81</v>
      </c>
      <c r="E11" s="4">
        <f>Reading!E11</f>
        <v>0</v>
      </c>
      <c r="F11" s="7"/>
      <c r="J11" s="8"/>
    </row>
    <row r="12" spans="1:25" ht="15" thickBot="1">
      <c r="C12" s="7"/>
      <c r="D12" s="3" t="s">
        <v>82</v>
      </c>
      <c r="E12" s="4">
        <f>Reading!E12</f>
        <v>0</v>
      </c>
      <c r="F12" s="7"/>
      <c r="J12" s="8"/>
    </row>
    <row r="13" spans="1:25" ht="15" thickBot="1">
      <c r="C13" s="7"/>
      <c r="D13" s="3" t="s">
        <v>83</v>
      </c>
      <c r="E13" s="4">
        <f>Reading!E13</f>
        <v>0</v>
      </c>
      <c r="F13" s="7"/>
      <c r="J13" s="8"/>
    </row>
    <row r="14" spans="1:25" ht="15" thickBot="1">
      <c r="C14" s="7"/>
      <c r="D14" s="5" t="s">
        <v>58</v>
      </c>
      <c r="E14" s="6"/>
      <c r="F14" s="7"/>
      <c r="J14" s="8"/>
      <c r="T14" t="s">
        <v>47</v>
      </c>
    </row>
    <row r="15" spans="1:25" ht="15" thickBot="1">
      <c r="C15" s="7"/>
      <c r="D15" s="3" t="s">
        <v>84</v>
      </c>
      <c r="E15" s="4">
        <v>1</v>
      </c>
      <c r="F15" s="7"/>
      <c r="J15" s="8"/>
      <c r="X15">
        <v>1</v>
      </c>
      <c r="Y15" t="s">
        <v>59</v>
      </c>
    </row>
    <row r="16" spans="1:25" ht="15" thickBot="1">
      <c r="C16" s="7"/>
      <c r="D16" s="3" t="s">
        <v>85</v>
      </c>
      <c r="E16" s="4">
        <v>1</v>
      </c>
      <c r="F16" s="7"/>
      <c r="J16" s="8"/>
      <c r="X16">
        <v>2</v>
      </c>
      <c r="Y16" t="s">
        <v>60</v>
      </c>
    </row>
    <row r="17" spans="3:27" ht="15" thickBot="1">
      <c r="C17" s="7"/>
      <c r="D17" s="3" t="s">
        <v>86</v>
      </c>
      <c r="E17" s="4">
        <v>1</v>
      </c>
      <c r="F17" s="7"/>
      <c r="J17" s="8"/>
      <c r="X17">
        <v>3</v>
      </c>
      <c r="Y17" t="s">
        <v>61</v>
      </c>
    </row>
    <row r="18" spans="3:27" ht="15" thickBot="1">
      <c r="C18" s="7"/>
      <c r="D18" s="3" t="s">
        <v>87</v>
      </c>
      <c r="E18" s="4">
        <v>1</v>
      </c>
      <c r="F18" s="7"/>
      <c r="J18" s="8"/>
      <c r="X18">
        <v>4</v>
      </c>
      <c r="Y18" t="s">
        <v>62</v>
      </c>
    </row>
    <row r="19" spans="3:27" ht="15" thickBot="1">
      <c r="C19" s="7"/>
      <c r="D19" s="3" t="s">
        <v>88</v>
      </c>
      <c r="E19" s="4">
        <v>1</v>
      </c>
      <c r="F19" s="7"/>
      <c r="J19" s="8"/>
      <c r="X19">
        <v>5</v>
      </c>
      <c r="Y19" t="s">
        <v>63</v>
      </c>
    </row>
    <row r="20" spans="3:27" ht="15" thickBot="1">
      <c r="C20" s="7"/>
      <c r="D20" s="5" t="s">
        <v>64</v>
      </c>
      <c r="E20" s="6"/>
      <c r="F20" s="7"/>
      <c r="J20" s="8"/>
    </row>
    <row r="21" spans="3:27" ht="15" thickBot="1">
      <c r="C21" s="7"/>
      <c r="D21" s="3" t="s">
        <v>89</v>
      </c>
      <c r="E21" s="4">
        <v>5</v>
      </c>
      <c r="F21" s="7"/>
      <c r="J21" s="8"/>
    </row>
    <row r="22" spans="3:27" ht="15" thickBot="1">
      <c r="C22" s="7"/>
      <c r="D22" s="3" t="s">
        <v>90</v>
      </c>
      <c r="E22" s="4">
        <v>5</v>
      </c>
      <c r="F22" s="7"/>
      <c r="J22" s="8"/>
      <c r="K22" s="8">
        <v>1</v>
      </c>
      <c r="L22" s="8">
        <v>2</v>
      </c>
      <c r="M22" s="8">
        <v>3</v>
      </c>
      <c r="N22" s="8">
        <v>4</v>
      </c>
      <c r="O22" s="8">
        <v>5</v>
      </c>
      <c r="AA22" t="str">
        <f>IF(R27=2, "When compared to classmates, Firstname's overall reading abilities are "&amp;VLOOKUP(E8, X15:Y19, 2), "")</f>
        <v/>
      </c>
    </row>
    <row r="23" spans="3:27" ht="15" thickBot="1">
      <c r="C23" s="7"/>
      <c r="D23" s="3" t="s">
        <v>91</v>
      </c>
      <c r="E23" s="4">
        <v>1</v>
      </c>
      <c r="F23" s="7"/>
      <c r="J23" s="8"/>
      <c r="K23" t="str">
        <f>IF(K4=computation, 1, "")</f>
        <v/>
      </c>
      <c r="L23" t="str">
        <f>IF(L4=computation, 1, "")</f>
        <v/>
      </c>
      <c r="M23" t="str">
        <f>IF(M4=computation, 1, "")</f>
        <v/>
      </c>
      <c r="N23" t="str">
        <f>IF(N4=computation, 1, "")</f>
        <v/>
      </c>
      <c r="O23" t="str">
        <f>IF(O4=computation, 1, "")</f>
        <v/>
      </c>
      <c r="AA23" t="e">
        <f>His&amp;" overall mathematical abilities are "&amp;VLOOKUP(E13, X15:Y19, 2)</f>
        <v>#N/A</v>
      </c>
    </row>
    <row r="24" spans="3:27" ht="15" thickBot="1">
      <c r="C24" s="7"/>
      <c r="D24" s="3" t="s">
        <v>92</v>
      </c>
      <c r="E24" s="4">
        <v>4</v>
      </c>
      <c r="F24" s="7"/>
      <c r="J24" s="8"/>
      <c r="K24" t="str">
        <f>IF(K5=mathfluency, 1, "")</f>
        <v/>
      </c>
      <c r="L24" t="str">
        <f>IF(L5=mathfluency, 1, "")</f>
        <v/>
      </c>
      <c r="M24" t="str">
        <f>IF(M5=mathfluency, 1, "")</f>
        <v/>
      </c>
      <c r="N24" t="str">
        <f>IF(N5=mathfluency, 1, "")</f>
        <v/>
      </c>
      <c r="O24" t="str">
        <f>IF(O5=mathfluency, 1, "")</f>
        <v/>
      </c>
    </row>
    <row r="25" spans="3:27" ht="15" thickBot="1">
      <c r="C25" s="7"/>
      <c r="D25" s="3" t="s">
        <v>93</v>
      </c>
      <c r="E25" s="4">
        <v>4</v>
      </c>
      <c r="F25" s="7"/>
      <c r="J25" s="8"/>
      <c r="K25" t="str">
        <f>IF(K6=wordproblems, 1, "")</f>
        <v/>
      </c>
      <c r="L25" t="str">
        <f>IF(L6=wordproblems, 1, "")</f>
        <v/>
      </c>
      <c r="M25" t="str">
        <f>IF(M6=wordproblems, 1, "")</f>
        <v/>
      </c>
      <c r="N25" t="str">
        <f>IF(N6=wordproblems, 1, "")</f>
        <v/>
      </c>
      <c r="O25" t="str">
        <f>IF(O6=wordproblems, 1, "")</f>
        <v/>
      </c>
    </row>
    <row r="26" spans="3:27">
      <c r="C26" s="7"/>
      <c r="D26" s="7"/>
      <c r="E26" s="7"/>
      <c r="F26" s="7"/>
      <c r="J26" s="8"/>
    </row>
    <row r="27" spans="3:27">
      <c r="J27" s="8" t="s">
        <v>66</v>
      </c>
      <c r="K27">
        <f t="shared" ref="K27:M27" si="0">SUM(K23:K26)</f>
        <v>0</v>
      </c>
      <c r="L27">
        <f t="shared" si="0"/>
        <v>0</v>
      </c>
      <c r="M27">
        <f t="shared" si="0"/>
        <v>0</v>
      </c>
      <c r="N27">
        <f t="shared" ref="N27:O27" si="1">SUM(N23:N26)</f>
        <v>0</v>
      </c>
      <c r="O27">
        <f t="shared" si="1"/>
        <v>0</v>
      </c>
    </row>
    <row r="28" spans="3:27">
      <c r="J28" s="8"/>
      <c r="K28" s="7"/>
      <c r="L28" s="7"/>
      <c r="M28" s="7"/>
      <c r="N28" s="7"/>
      <c r="O28" s="7"/>
      <c r="P28" s="7"/>
      <c r="V28" t="s">
        <v>47</v>
      </c>
    </row>
    <row r="29" spans="3:27">
      <c r="J29" s="8" t="s">
        <v>68</v>
      </c>
      <c r="K29" t="str">
        <f>IF(K27=1, Firstname&amp;" "&amp;is&amp;" in the bottom 10 percent of "&amp;hislower&amp;" class in "&amp;K4&amp;K5&amp;K6&amp;". ", "")</f>
        <v/>
      </c>
      <c r="L29" t="str">
        <f>IF(L27=1, Firstname&amp;" "&amp;wasrated&amp;" in the bottom 20 percent of "&amp;hislower&amp;" class in "&amp;L4&amp;L5&amp;L6&amp;". ", "")</f>
        <v/>
      </c>
      <c r="M29" t="str">
        <f>IF(M27=1, Firstname&amp;" "&amp;demonstratesskills&amp;" equivalent skills to "&amp;hislower&amp;" class in "&amp;M4&amp;M5&amp;M6&amp;". ", "")</f>
        <v/>
      </c>
      <c r="N29" t="str">
        <f>IF(N27=1, Firstname&amp;" "&amp;ranks&amp;" in the top 20 percent of "&amp;hislower&amp;" class in "&amp;N4&amp;N5&amp;N6&amp;". ", "")</f>
        <v/>
      </c>
      <c r="O29" t="str">
        <f>IF(O27=1, Firstname&amp;" "&amp;istop10&amp;" in the top 10 percent of "&amp;hislower&amp;" class in "&amp;O4&amp;O5&amp;O6&amp;".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"&amp;K4&amp;", "&amp;K5&amp;", and "&amp;K6&amp;". ", "")</f>
        <v/>
      </c>
      <c r="L31" t="str">
        <f>IF(L27=3, Firstname&amp;" "&amp;wasrated&amp;" in the bottom 20 percent of "&amp;hislower&amp;" class in "&amp;L4&amp;", "&amp;L5&amp;", and "&amp;L6&amp;". ", "")</f>
        <v/>
      </c>
      <c r="M31" t="str">
        <f>IF(M27=3, Firstname&amp;" "&amp;demonstratesskills&amp;" equivalent skills to "&amp;hislower&amp;" class in "&amp;M4&amp;", "&amp;M5&amp;", and "&amp;M6&amp;". ", "")</f>
        <v/>
      </c>
      <c r="N31" t="str">
        <f>IF(N27=3, Firstname&amp;" "&amp;ranks&amp;" in the top 20 percent of "&amp;hislower&amp;" class in "&amp;N4&amp;", "&amp;N5&amp;", and "&amp;N6&amp;". ", "")</f>
        <v/>
      </c>
      <c r="O31" t="str">
        <f>IF(O27=3, Firstname&amp;" "&amp;istop10&amp;" in the top 10 percent of "&amp;hislower&amp;" class in "&amp;O4&amp;", "&amp;O5&amp;", and "&amp;O6&amp;". ", "")</f>
        <v/>
      </c>
    </row>
    <row r="33" spans="4:22">
      <c r="J33" t="s">
        <v>70</v>
      </c>
      <c r="K33" t="str">
        <f>K29&amp;K30&amp;K31&amp;K32</f>
        <v/>
      </c>
      <c r="L33" t="str">
        <f t="shared" ref="L33:O33" si="2">L29&amp;L30&amp;L31&amp;L32</f>
        <v/>
      </c>
      <c r="M33" t="str">
        <f t="shared" si="2"/>
        <v/>
      </c>
      <c r="N33" t="str">
        <f t="shared" si="2"/>
        <v/>
      </c>
      <c r="O33" t="str">
        <f t="shared" si="2"/>
        <v/>
      </c>
      <c r="S33" t="s">
        <v>94</v>
      </c>
      <c r="V33" t="e">
        <f>"Regarding math, "&amp;K43&amp;L43&amp;M43&amp;N43&amp;O43&amp;AA23</f>
        <v>#N/A</v>
      </c>
    </row>
    <row r="34" spans="4:22">
      <c r="J34" s="8"/>
      <c r="K34">
        <v>1</v>
      </c>
      <c r="L34">
        <v>2</v>
      </c>
      <c r="M34">
        <v>3</v>
      </c>
      <c r="N34">
        <v>4</v>
      </c>
      <c r="O34">
        <v>5</v>
      </c>
    </row>
    <row r="35" spans="4:22">
      <c r="J35" s="8" t="s">
        <v>71</v>
      </c>
      <c r="L35" t="str">
        <f>IF(L27=1, He&amp;" "&amp;wasrated&amp;" in the bottom 20 percent of "&amp;hislower&amp;" class in "&amp;L4&amp;L5&amp;L6&amp;". ", "")</f>
        <v/>
      </c>
      <c r="M35" t="str">
        <f>IF(M27=1, He&amp;" "&amp;demonstratesskills&amp;" equivalent skills to "&amp;hislower&amp;" class in "&amp;M4&amp;M5&amp;M6&amp;". ", "")</f>
        <v/>
      </c>
      <c r="N35" t="str">
        <f>IF(N27=1, He&amp;" "&amp;ranks&amp;" in the top 20 percent of "&amp;hislower&amp;" class in "&amp;N4&amp;N5&amp;N6&amp;". ", "")</f>
        <v/>
      </c>
      <c r="O35" t="str">
        <f>IF(O27=1, He&amp;" "&amp;istop10&amp;" in the top 10 percent of "&amp;hislower&amp;" class in "&amp;O4&amp;O5&amp;O6&amp;". ", "")</f>
        <v/>
      </c>
    </row>
    <row r="36" spans="4:22">
      <c r="D36" t="s">
        <v>47</v>
      </c>
      <c r="L36" t="str">
        <f>IF(L27=2, He&amp;" "&amp;wasrated&amp;" in the bottom 20 percent of "&amp;hislower&amp;" class in "&amp;W3&amp;" and "&amp;W4&amp;". ", "")</f>
        <v/>
      </c>
      <c r="M36" t="str">
        <f>IF(M27=2, He&amp;" "&amp;demonstratesskills&amp;" equivalent skills to "&amp;hislower&amp;" class in "&amp;W3&amp;" and "&amp;W4&amp;". ", "")</f>
        <v/>
      </c>
      <c r="N36" t="str">
        <f>IF(N27=2, He&amp;" "&amp;ranks&amp;" in the top 20 percent of "&amp;hislower&amp;" class in "&amp;W3&amp;" and "&amp;W4&amp;". ", "")</f>
        <v/>
      </c>
      <c r="O36" t="str">
        <f>IF(O27=2, He&amp;" "&amp;istop10&amp;" in the top 10 percent of "&amp;hislower&amp;" class in "&amp;W3&amp;" and "&amp;W4&amp;". ", "")</f>
        <v/>
      </c>
    </row>
    <row r="37" spans="4:22">
      <c r="L37" t="str">
        <f>IF(L27=3, He&amp;" "&amp;wasrated&amp;" in the bottom 20 percent of "&amp;hislower&amp;" class in "&amp;computation&amp;", "&amp;mathfluency&amp;", and "&amp;wordproblems&amp;". ", "")</f>
        <v/>
      </c>
      <c r="M37" t="str">
        <f>IF(M27=3, He&amp;" "&amp;demonstratesskills&amp;" equivalent skills to "&amp;hislower&amp;" class in "&amp;computation&amp;", "&amp;mathfluency&amp;", and "&amp;wordproblems&amp;". ", "")</f>
        <v/>
      </c>
      <c r="N37" t="str">
        <f>IF(N27=3, He&amp;" "&amp;ranks&amp;" in the top 20 percent of "&amp;hislower&amp;" class in "&amp;computation&amp;", "&amp;mathfluency&amp;", and "&amp;wordproblems&amp;". ", "")</f>
        <v/>
      </c>
      <c r="O37" t="str">
        <f>IF(O27=3, He&amp;" "&amp;istop10&amp;" in the top 10 percent of "&amp;hislower&amp;" class in "&amp;computation&amp;", "&amp;mathfluency&amp;", and "&amp;wordproblems&amp;". ", "")</f>
        <v/>
      </c>
    </row>
    <row r="39" spans="4:22">
      <c r="J39" t="s">
        <v>70</v>
      </c>
      <c r="L39" t="str">
        <f>L35&amp;L36&amp;L37&amp;L38</f>
        <v/>
      </c>
      <c r="M39" t="str">
        <f>M35&amp;M36&amp;M37&amp;M38</f>
        <v/>
      </c>
      <c r="N39" t="str">
        <f>N35&amp;N36&amp;N37&amp;N38</f>
        <v/>
      </c>
      <c r="O39" t="str">
        <f>O35&amp;O36&amp;O37&amp;O38</f>
        <v/>
      </c>
    </row>
    <row r="43" spans="4:22">
      <c r="J43" t="s">
        <v>73</v>
      </c>
      <c r="K43" t="str">
        <f>K33</f>
        <v/>
      </c>
      <c r="L43" t="str">
        <f>IF(OR(K27=1,K27=2),L39,L33)</f>
        <v/>
      </c>
      <c r="M43" t="str">
        <f>IF(OR(K27=1,K27=2,L27=1,L27=2),M39,M33)</f>
        <v/>
      </c>
      <c r="N43" t="str">
        <f>IF(OR(K27=1, K27=2, L27=1, L27=2, M27=1, M27=2), N39, N33)</f>
        <v/>
      </c>
      <c r="O43" t="str">
        <f>IF(OR(K27=1,K27=2,L27=1,L27=2,M27=1,M27=2,N27=1,N27=2),O39,O33)</f>
        <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heetViews>
  <sheetFormatPr baseColWidth="10" defaultColWidth="8.83203125" defaultRowHeight="14" x14ac:dyDescent="0"/>
  <cols>
    <col min="4" max="4" width="60" bestFit="1" customWidth="1"/>
    <col min="5" max="5" width="18.5" customWidth="1"/>
    <col min="10" max="10" width="13.1640625" bestFit="1" customWidth="1"/>
    <col min="13" max="13" width="20.1640625" customWidth="1"/>
  </cols>
  <sheetData>
    <row r="1" spans="1:25">
      <c r="A1" s="8" t="s">
        <v>48</v>
      </c>
    </row>
    <row r="2" spans="1:25" ht="15" thickBot="1">
      <c r="C2" s="7"/>
      <c r="D2" s="7"/>
      <c r="E2" s="7"/>
      <c r="F2" s="7"/>
    </row>
    <row r="3" spans="1:25" ht="15" thickBot="1">
      <c r="C3" s="7"/>
      <c r="D3" s="1" t="s">
        <v>49</v>
      </c>
      <c r="E3" s="2"/>
      <c r="F3" s="7"/>
      <c r="J3" s="8" t="s">
        <v>58</v>
      </c>
      <c r="K3" s="8">
        <v>1</v>
      </c>
      <c r="L3" s="8">
        <v>2</v>
      </c>
      <c r="M3" s="8">
        <v>3</v>
      </c>
      <c r="N3" s="8">
        <v>4</v>
      </c>
      <c r="O3" s="8">
        <v>5</v>
      </c>
      <c r="R3" s="9">
        <v>2</v>
      </c>
      <c r="S3">
        <f>IF(OR(AND(K27=2, K23=1), AND(L27=2,L23=1), AND(M27=2, M23=1), AND(N27=2, N23=1), AND(O27=2, O23=1)), 1, 0)</f>
        <v>0</v>
      </c>
      <c r="T3" t="str">
        <f>Overview!D13</f>
        <v>content</v>
      </c>
      <c r="W3" t="str">
        <f>IF(S3=1,T3,IF(S6=1,T6,T5))</f>
        <v>grammar</v>
      </c>
    </row>
    <row r="4" spans="1:25" ht="15" thickBot="1">
      <c r="C4" s="7"/>
      <c r="D4" s="3" t="s">
        <v>75</v>
      </c>
      <c r="E4" s="4">
        <v>3</v>
      </c>
      <c r="F4" s="7"/>
      <c r="K4" t="str">
        <f>IF(writing1=1, writtencontent, "")</f>
        <v/>
      </c>
      <c r="L4" t="str">
        <f>IF(writing1=2, writtencontent, "")</f>
        <v/>
      </c>
      <c r="M4" t="str">
        <f>IF(writing1=3, writtencontent, "")</f>
        <v/>
      </c>
      <c r="N4" t="str">
        <f>IF(writing1=4, writtencontent, "")</f>
        <v/>
      </c>
      <c r="O4" t="str">
        <f>IF(writing1=5, writtencontent, "")</f>
        <v/>
      </c>
      <c r="R4" s="8"/>
      <c r="S4">
        <f>IF(OR(AND(K27=2, K24=1), AND(L27=2,L24=1), AND(M27=2, M24=1), AND(N27=2, N24=1), AND(O27=2, O24=1)), 1, 0)</f>
        <v>0</v>
      </c>
      <c r="T4" t="str">
        <f>Overview!D14</f>
        <v>spelling</v>
      </c>
      <c r="W4" t="str">
        <f>IF(S4=1,T4,IF(S5=1,T5, T6))</f>
        <v>punctuation</v>
      </c>
    </row>
    <row r="5" spans="1:25" ht="15" thickBot="1">
      <c r="C5" s="7"/>
      <c r="D5" s="3" t="s">
        <v>76</v>
      </c>
      <c r="E5" s="4">
        <v>2</v>
      </c>
      <c r="F5" s="7"/>
      <c r="J5" s="8"/>
      <c r="K5" t="str">
        <f>IF(writing2=1, spelling, "")</f>
        <v/>
      </c>
      <c r="L5" t="str">
        <f>IF(writing2=2, spelling, "")</f>
        <v/>
      </c>
      <c r="M5" t="str">
        <f>IF(writing2=3, spelling, "")</f>
        <v/>
      </c>
      <c r="N5" t="str">
        <f>IF(writing2=4, spelling, "")</f>
        <v/>
      </c>
      <c r="O5" t="str">
        <f>IF(writing2=5, spelling, "")</f>
        <v/>
      </c>
      <c r="R5" s="8"/>
      <c r="S5">
        <f>IF(OR(AND(K27=2, K25=1), AND(L27=2,L25=1), AND(M27=2, M25=1), AND(N27=2, N25=1), AND(O27=2, O25=1)), 1, 0)</f>
        <v>0</v>
      </c>
      <c r="T5" t="str">
        <f>Overview!D15</f>
        <v>grammar</v>
      </c>
    </row>
    <row r="6" spans="1:25" ht="15" thickBot="1">
      <c r="C6" s="7"/>
      <c r="D6" s="3" t="s">
        <v>77</v>
      </c>
      <c r="E6" s="4">
        <v>3</v>
      </c>
      <c r="F6" s="7"/>
      <c r="J6" s="8"/>
      <c r="K6" t="str">
        <f>IF(writing3=1, grammar, "")</f>
        <v/>
      </c>
      <c r="L6" t="str">
        <f>IF(writing3=2, grammar, "")</f>
        <v/>
      </c>
      <c r="M6" t="str">
        <f>IF(writing3=3, grammar, "")</f>
        <v/>
      </c>
      <c r="N6" t="str">
        <f>IF(writing3=4, grammar, "")</f>
        <v/>
      </c>
      <c r="O6" t="str">
        <f>IF(writing3=5, grammar, "")</f>
        <v/>
      </c>
      <c r="R6" s="8"/>
      <c r="S6">
        <f>IF(OR(AND(K27=2, K26=1), AND(L27=2,L26=1), AND(M27=2, M26=1), AND(N27=2, N26=1), AND(O27=2, O26=1)), 1, 0)</f>
        <v>0</v>
      </c>
      <c r="T6" t="str">
        <f>Overview!D16</f>
        <v>punctuation</v>
      </c>
    </row>
    <row r="7" spans="1:25" ht="15" thickBot="1">
      <c r="C7" s="7"/>
      <c r="D7" s="3" t="s">
        <v>78</v>
      </c>
      <c r="E7" s="4">
        <v>4</v>
      </c>
      <c r="F7" s="7"/>
      <c r="J7" s="8"/>
      <c r="K7" t="str">
        <f>IF(writing4=1, punctuation, "")</f>
        <v/>
      </c>
      <c r="L7" t="str">
        <f>IF(writing4=2, punctuation, "")</f>
        <v/>
      </c>
      <c r="M7" t="str">
        <f>IF(writing4=3, punctuation, "")</f>
        <v/>
      </c>
      <c r="N7" t="str">
        <f>IF(writing4=4, punctuation, "")</f>
        <v/>
      </c>
      <c r="O7" t="str">
        <f>IF(writing4=5, punctuation, "")</f>
        <v/>
      </c>
      <c r="R7" s="8"/>
    </row>
    <row r="8" spans="1:25" ht="15" thickBot="1">
      <c r="C8" s="7"/>
      <c r="D8" s="3" t="s">
        <v>79</v>
      </c>
      <c r="E8" s="4">
        <v>3</v>
      </c>
      <c r="F8" s="7"/>
      <c r="J8" s="8"/>
      <c r="R8" s="9">
        <v>3</v>
      </c>
      <c r="S8">
        <f>IF(OR(AND(K27=3, K23=1), AND(L27=3,L23=1), AND(M27=3, M23=1), AND(N27=3, N23=1), AND(O27=3, O23=1)), 1, 0)</f>
        <v>0</v>
      </c>
      <c r="T8" t="str">
        <f>writtencontent</f>
        <v>content</v>
      </c>
      <c r="W8" t="str">
        <f>IF(S8=1, T8, T9)</f>
        <v>spelling</v>
      </c>
    </row>
    <row r="9" spans="1:25" ht="15" thickBot="1">
      <c r="C9" s="7"/>
      <c r="D9" s="5" t="s">
        <v>51</v>
      </c>
      <c r="E9" s="6"/>
      <c r="F9" s="7"/>
      <c r="J9" s="8"/>
      <c r="S9">
        <f>IF(OR(AND(K27=3, K24=1), AND(L27=3,L24=1), AND(M27=3, M24=1), AND(N27=3, N24=1), AND(O27=3, O24=1)), 1, 0)</f>
        <v>0</v>
      </c>
      <c r="T9" t="str">
        <f>spelling</f>
        <v>spelling</v>
      </c>
      <c r="W9" t="str">
        <f>IF(AND(S8=1, S9=1), T9, T10)</f>
        <v>grammar</v>
      </c>
    </row>
    <row r="10" spans="1:25" ht="15" thickBot="1">
      <c r="C10" s="7"/>
      <c r="D10" s="3" t="s">
        <v>80</v>
      </c>
      <c r="E10" s="4">
        <v>2</v>
      </c>
      <c r="F10" s="7"/>
      <c r="J10" s="8"/>
      <c r="S10">
        <f>IF(OR(AND(K27=3, K25=1), AND(L27=3,L25=1), AND(M27=3, M25=1), AND(N27=3, N25=1), AND(O27=3, O25=1)), 1, 0)</f>
        <v>0</v>
      </c>
      <c r="T10" t="str">
        <f>grammar</f>
        <v>grammar</v>
      </c>
      <c r="W10" t="str">
        <f>IF(AND(S8=1, S9=1, S10=1), T10, T11)</f>
        <v>punctuation</v>
      </c>
    </row>
    <row r="11" spans="1:25" ht="15" thickBot="1">
      <c r="C11" s="7"/>
      <c r="D11" s="3" t="s">
        <v>81</v>
      </c>
      <c r="E11" s="4">
        <v>2</v>
      </c>
      <c r="F11" s="7"/>
      <c r="I11" t="s">
        <v>52</v>
      </c>
      <c r="J11" s="8" t="s">
        <v>53</v>
      </c>
      <c r="K11" t="s">
        <v>54</v>
      </c>
      <c r="L11" t="s">
        <v>55</v>
      </c>
      <c r="S11">
        <f>IF(OR(AND(K27=3, K26=1), AND(L27=3,L26=1), AND(M27=3, M26=1), AND(N27=3, N26=1), AND(O27=3, O26=1)), 1, 0)</f>
        <v>0</v>
      </c>
      <c r="T11" t="str">
        <f>punctuation</f>
        <v>punctuation</v>
      </c>
    </row>
    <row r="12" spans="1:25" ht="15" thickBot="1">
      <c r="C12" s="7"/>
      <c r="D12" s="3" t="s">
        <v>82</v>
      </c>
      <c r="E12" s="4">
        <v>2</v>
      </c>
      <c r="F12" s="7"/>
      <c r="H12" t="s">
        <v>52</v>
      </c>
      <c r="I12" t="s">
        <v>56</v>
      </c>
      <c r="J12" s="8">
        <f>IF(writing1=writing2, writing1, "")</f>
        <v>0</v>
      </c>
      <c r="K12">
        <f>IF(writing1=writing3, writing1, "")</f>
        <v>0</v>
      </c>
      <c r="L12">
        <f>IF(writing1=writing4, writing1, "")</f>
        <v>0</v>
      </c>
      <c r="N12" t="str">
        <f>IF(AND(1&lt;=J12, J12&lt;=5), Firstname&amp;" "&amp;VLOOKUP(J12,vlookreading, 2)&amp;writtencontent&amp;" and "&amp;spelling&amp;". ", "")</f>
        <v/>
      </c>
      <c r="O12" t="str">
        <f>IF(AND(1&lt;=K12, K12&lt;=5), Firstname&amp;" "&amp;VLOOKUP(K12,vlookreading, 2)&amp;writtencontent&amp;" and "&amp;grammar&amp;". ", "")</f>
        <v/>
      </c>
      <c r="P12" t="str">
        <f>IF(AND(1&lt;=L12, L12&lt;=5), Firstname&amp;" "&amp;VLOOKUP(L12,vlookreading, 2)&amp;writtencontent&amp;" and "&amp;punctuation&amp;". ", "")</f>
        <v/>
      </c>
    </row>
    <row r="13" spans="1:25" ht="15" thickBot="1">
      <c r="C13" s="7"/>
      <c r="D13" s="3" t="s">
        <v>83</v>
      </c>
      <c r="E13" s="4">
        <v>2</v>
      </c>
      <c r="F13" s="7"/>
      <c r="H13" t="s">
        <v>53</v>
      </c>
      <c r="I13" t="s">
        <v>57</v>
      </c>
      <c r="J13" s="8" t="s">
        <v>56</v>
      </c>
      <c r="K13">
        <f>IF(writing2=writing3, writing2, "")</f>
        <v>0</v>
      </c>
      <c r="L13">
        <f>IF(writing2=writing4, writing2,"")</f>
        <v>0</v>
      </c>
      <c r="O13" t="str">
        <f>IF(AND(1&lt;=K13, K13&lt;=5), He&amp;" "&amp;VLOOKUP(K13,vlookreading, 2)&amp;spelling&amp;" and "&amp;grammar&amp;". ", "")</f>
        <v/>
      </c>
      <c r="P13" t="str">
        <f>IF(AND(1&lt;=L13, L13&lt;=5), He&amp;" "&amp;VLOOKUP(L13,vlookreading, 2)&amp;spelling&amp;" and "&amp;punctuation&amp;". ", "")</f>
        <v/>
      </c>
    </row>
    <row r="14" spans="1:25" ht="15" thickBot="1">
      <c r="C14" s="7"/>
      <c r="D14" s="5" t="s">
        <v>58</v>
      </c>
      <c r="E14" s="6"/>
      <c r="F14" s="7"/>
      <c r="H14" t="s">
        <v>54</v>
      </c>
      <c r="I14" t="s">
        <v>57</v>
      </c>
      <c r="J14" s="8" t="s">
        <v>57</v>
      </c>
      <c r="K14" t="s">
        <v>56</v>
      </c>
      <c r="L14">
        <f>IF(writing3=writing4, writing3, "")</f>
        <v>0</v>
      </c>
      <c r="P14" t="str">
        <f>IF(AND(1&lt;=L14, L14&lt;=5), He&amp;" "&amp;VLOOKUP(L14,vlookreading, 2)&amp;grammar&amp;" and "&amp;punctuation&amp;". ", "")</f>
        <v/>
      </c>
      <c r="T14" t="s">
        <v>47</v>
      </c>
    </row>
    <row r="15" spans="1:25" ht="15" thickBot="1">
      <c r="C15" s="7"/>
      <c r="D15" s="3" t="s">
        <v>87</v>
      </c>
      <c r="E15" s="4">
        <f>Reading!E15</f>
        <v>0</v>
      </c>
      <c r="F15" s="7"/>
      <c r="H15" t="s">
        <v>55</v>
      </c>
      <c r="I15" t="s">
        <v>57</v>
      </c>
      <c r="J15" s="8" t="s">
        <v>57</v>
      </c>
      <c r="K15" t="s">
        <v>57</v>
      </c>
      <c r="L15" t="s">
        <v>56</v>
      </c>
      <c r="X15">
        <v>1</v>
      </c>
      <c r="Y15" t="s">
        <v>59</v>
      </c>
    </row>
    <row r="16" spans="1:25" ht="15" thickBot="1">
      <c r="C16" s="7"/>
      <c r="D16" s="3" t="s">
        <v>85</v>
      </c>
      <c r="E16" s="4">
        <f>Reading!E16</f>
        <v>0</v>
      </c>
      <c r="F16" s="7"/>
      <c r="J16" s="8"/>
      <c r="X16">
        <v>2</v>
      </c>
      <c r="Y16" t="s">
        <v>60</v>
      </c>
    </row>
    <row r="17" spans="3:27" ht="15" thickBot="1">
      <c r="C17" s="7"/>
      <c r="D17" s="3" t="s">
        <v>95</v>
      </c>
      <c r="E17" s="4">
        <f>Reading!E17</f>
        <v>0</v>
      </c>
      <c r="F17" s="7"/>
      <c r="J17" s="8"/>
      <c r="X17">
        <v>3</v>
      </c>
      <c r="Y17" t="s">
        <v>61</v>
      </c>
    </row>
    <row r="18" spans="3:27" ht="15" thickBot="1">
      <c r="C18" s="7"/>
      <c r="D18" s="3" t="s">
        <v>96</v>
      </c>
      <c r="E18" s="4">
        <f>Reading!E18</f>
        <v>0</v>
      </c>
      <c r="F18" s="7"/>
      <c r="J18" s="8"/>
      <c r="X18">
        <v>4</v>
      </c>
      <c r="Y18" t="s">
        <v>62</v>
      </c>
    </row>
    <row r="19" spans="3:27" ht="15" thickBot="1">
      <c r="C19" s="7"/>
      <c r="D19" s="3" t="s">
        <v>84</v>
      </c>
      <c r="E19" s="4">
        <f>Reading!E19</f>
        <v>0</v>
      </c>
      <c r="F19" s="7"/>
      <c r="J19" s="8"/>
      <c r="X19">
        <v>5</v>
      </c>
      <c r="Y19" t="s">
        <v>63</v>
      </c>
    </row>
    <row r="20" spans="3:27" ht="15" thickBot="1">
      <c r="C20" s="7"/>
      <c r="D20" s="5" t="s">
        <v>64</v>
      </c>
      <c r="E20" s="4" t="str">
        <f>Reading!E20</f>
        <v>Description</v>
      </c>
      <c r="F20" s="7"/>
      <c r="J20" s="8"/>
    </row>
    <row r="21" spans="3:27" ht="15" thickBot="1">
      <c r="C21" s="7"/>
      <c r="D21" s="3" t="s">
        <v>89</v>
      </c>
      <c r="E21" s="4">
        <f>Reading!E21</f>
        <v>0</v>
      </c>
      <c r="F21" s="7"/>
      <c r="J21" s="8"/>
    </row>
    <row r="22" spans="3:27" ht="15" thickBot="1">
      <c r="C22" s="7"/>
      <c r="D22" s="3" t="s">
        <v>90</v>
      </c>
      <c r="E22" s="4">
        <f>Reading!E22</f>
        <v>0</v>
      </c>
      <c r="F22" s="7"/>
      <c r="J22" s="8"/>
      <c r="K22" s="8">
        <v>1</v>
      </c>
      <c r="L22" s="8">
        <v>2</v>
      </c>
      <c r="M22" s="8">
        <v>3</v>
      </c>
      <c r="N22" s="8">
        <v>4</v>
      </c>
      <c r="O22" s="8">
        <v>5</v>
      </c>
    </row>
    <row r="23" spans="3:27">
      <c r="C23" s="7"/>
      <c r="D23" s="14" t="s">
        <v>91</v>
      </c>
      <c r="E23" s="15">
        <f>Reading!E23</f>
        <v>0</v>
      </c>
      <c r="F23" s="7"/>
      <c r="J23" s="8"/>
      <c r="K23" t="str">
        <f>IF(K4=writtencontent, 1, "")</f>
        <v/>
      </c>
      <c r="L23" t="str">
        <f>IF(L4=writtencontent, 1, "")</f>
        <v/>
      </c>
      <c r="M23" t="str">
        <f>IF(M4=writtencontent, 1, "")</f>
        <v/>
      </c>
      <c r="N23" t="str">
        <f>IF(N4=writtencontent, 1, "")</f>
        <v/>
      </c>
      <c r="O23" t="str">
        <f>IF(O4=writtencontent, 1, "")</f>
        <v/>
      </c>
      <c r="AA23" t="e">
        <f>His&amp;" overall writing abilities are "&amp;VLOOKUP(E19, X15:Y19, 2)</f>
        <v>#N/A</v>
      </c>
    </row>
    <row r="24" spans="3:27">
      <c r="C24" s="7"/>
      <c r="D24" s="16" t="s">
        <v>92</v>
      </c>
      <c r="E24" s="16">
        <f>Reading!E24</f>
        <v>0</v>
      </c>
      <c r="F24" s="7"/>
      <c r="J24" s="8"/>
      <c r="K24" t="str">
        <f>IF(K5=spelling, 1, "")</f>
        <v/>
      </c>
      <c r="L24" t="str">
        <f>IF(L5=spelling, 1, "")</f>
        <v/>
      </c>
      <c r="M24" t="str">
        <f>IF(M5=spelling, 1, "")</f>
        <v/>
      </c>
      <c r="N24" t="str">
        <f>IF(N5=spelling, 1, "")</f>
        <v/>
      </c>
      <c r="O24" t="str">
        <f>IF(O5=spelling, 1, "")</f>
        <v/>
      </c>
    </row>
    <row r="25" spans="3:27">
      <c r="C25" s="7"/>
      <c r="D25" s="17"/>
      <c r="E25" s="17"/>
      <c r="F25" s="7"/>
      <c r="J25" s="8"/>
      <c r="K25" t="str">
        <f>IF(K6=grammar, 1, "")</f>
        <v/>
      </c>
      <c r="L25" t="str">
        <f>IF(L6=grammar, 1, "")</f>
        <v/>
      </c>
      <c r="M25" t="str">
        <f>IF(M6=grammar, 1, "")</f>
        <v/>
      </c>
      <c r="N25" t="str">
        <f>IF(N6=grammar, 1, "")</f>
        <v/>
      </c>
      <c r="O25" t="str">
        <f>IF(O6=grammar, 1, "")</f>
        <v/>
      </c>
    </row>
    <row r="26" spans="3:27">
      <c r="C26" s="12"/>
      <c r="D26" s="12"/>
      <c r="E26" s="12"/>
      <c r="F26" s="12"/>
      <c r="J26" s="8"/>
      <c r="K26" t="str">
        <f>IF(K7=punctuation, 1, "")</f>
        <v/>
      </c>
      <c r="L26" t="str">
        <f>IF(L7=punctuation, 1, "")</f>
        <v/>
      </c>
      <c r="M26" t="str">
        <f>IF(M7=punctuation, 1, "")</f>
        <v/>
      </c>
      <c r="N26" t="str">
        <f>IF(N7=punctuation, 1, "")</f>
        <v/>
      </c>
      <c r="O26" t="str">
        <f>IF(O7=punctuation, 1, "")</f>
        <v/>
      </c>
    </row>
    <row r="27" spans="3:27">
      <c r="J27" s="8" t="s">
        <v>66</v>
      </c>
      <c r="K27">
        <f t="shared" ref="K27:M27" si="0">SUM(K23:K26)</f>
        <v>0</v>
      </c>
      <c r="L27">
        <f t="shared" si="0"/>
        <v>0</v>
      </c>
      <c r="M27">
        <f t="shared" si="0"/>
        <v>0</v>
      </c>
      <c r="N27">
        <f t="shared" ref="N27:O27" si="1">SUM(N23:N26)</f>
        <v>0</v>
      </c>
      <c r="O27">
        <f t="shared" si="1"/>
        <v>0</v>
      </c>
      <c r="Q27" t="s">
        <v>67</v>
      </c>
      <c r="R27">
        <f>COUNTIF(K27:O27, 2)</f>
        <v>0</v>
      </c>
    </row>
    <row r="28" spans="3:27">
      <c r="J28" s="8"/>
      <c r="K28" s="7"/>
      <c r="L28" s="7"/>
      <c r="M28" s="7"/>
      <c r="N28" s="7"/>
      <c r="O28" s="7"/>
      <c r="P28" s="7"/>
      <c r="V28" t="s">
        <v>47</v>
      </c>
    </row>
    <row r="29" spans="3:27">
      <c r="J29" s="8" t="s">
        <v>68</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69</v>
      </c>
      <c r="V32" t="str">
        <f>IF(R27=2, N12&amp;O12&amp;P12&amp;O13&amp;P13&amp;P14&amp;AA23, "")</f>
        <v/>
      </c>
    </row>
    <row r="33" spans="4:22">
      <c r="J33" t="s">
        <v>70</v>
      </c>
      <c r="K33" t="str">
        <f>K29&amp;K30&amp;K31&amp;K32</f>
        <v/>
      </c>
      <c r="L33" t="str">
        <f t="shared" ref="L33:O33" si="2">L29&amp;L30&amp;L31&amp;L32</f>
        <v/>
      </c>
      <c r="M33" t="str">
        <f t="shared" si="2"/>
        <v/>
      </c>
      <c r="N33" t="str">
        <f t="shared" si="2"/>
        <v/>
      </c>
      <c r="O33" t="str">
        <f t="shared" si="2"/>
        <v/>
      </c>
      <c r="S33" t="s">
        <v>69</v>
      </c>
      <c r="V33" t="e">
        <f>IF(R27=2, "",K44&amp;L44&amp;M44&amp;N44&amp;O44&amp;AA23)</f>
        <v>#N/A</v>
      </c>
    </row>
    <row r="35" spans="4:22">
      <c r="J35" s="8"/>
      <c r="K35">
        <v>1</v>
      </c>
      <c r="L35">
        <v>2</v>
      </c>
      <c r="M35">
        <v>3</v>
      </c>
      <c r="N35">
        <v>4</v>
      </c>
      <c r="O35">
        <v>5</v>
      </c>
    </row>
    <row r="36" spans="4:22">
      <c r="D36" t="s">
        <v>47</v>
      </c>
      <c r="J36" s="8" t="s">
        <v>71</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c r="J40" t="s">
        <v>70</v>
      </c>
      <c r="L40" t="str">
        <f>L36&amp;L37&amp;L38&amp;L39</f>
        <v/>
      </c>
      <c r="M40" t="str">
        <f>M36&amp;M37&amp;M38&amp;M39</f>
        <v/>
      </c>
      <c r="N40" t="str">
        <f>N36&amp;N37&amp;N38&amp;N39</f>
        <v/>
      </c>
      <c r="O40" t="str">
        <f>O36&amp;O37&amp;O38&amp;O39</f>
        <v/>
      </c>
      <c r="U40" t="s">
        <v>72</v>
      </c>
      <c r="V40" t="e">
        <f>"Regarding writing, "&amp;V32&amp;V33</f>
        <v>#N/A</v>
      </c>
    </row>
    <row r="44" spans="4:22">
      <c r="J44" t="s">
        <v>73</v>
      </c>
      <c r="K44" t="str">
        <f>K33</f>
        <v/>
      </c>
      <c r="L44" t="str">
        <f>IF(OR(K27=1,K27=2,K27=3),L40,L33)</f>
        <v/>
      </c>
      <c r="M44" t="str">
        <f>IF(OR(K27=1,K27=2,K27=3,L27=1,L27=2,L27=3),M40,M33)</f>
        <v/>
      </c>
      <c r="N44" t="str">
        <f>IF(OR(K27=1, K27=2, K27=3, L27=1, L27=2, L27=3, M27=1, M27=2, M27=3), N40, N33)</f>
        <v/>
      </c>
      <c r="O44" t="str">
        <f>IF(OR(K27=1,K27=2,K27=3,L27=1,L27=2,L27=3,M27=1,M27=2,M27=3,N27=1,N27=2,N27=3),O40,O33)</f>
        <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125" zoomScaleNormal="125" zoomScalePageLayoutView="125" workbookViewId="0"/>
  </sheetViews>
  <sheetFormatPr baseColWidth="10" defaultColWidth="8.83203125" defaultRowHeight="14" x14ac:dyDescent="0"/>
  <cols>
    <col min="4" max="4" width="66.83203125" customWidth="1"/>
    <col min="5" max="5" width="25.6640625" bestFit="1" customWidth="1"/>
    <col min="9" max="9" width="21.5" bestFit="1" customWidth="1"/>
    <col min="10" max="10" width="13.1640625" bestFit="1" customWidth="1"/>
    <col min="13" max="13" width="20.1640625" customWidth="1"/>
  </cols>
  <sheetData>
    <row r="1" spans="1:18">
      <c r="A1" s="8" t="s">
        <v>48</v>
      </c>
    </row>
    <row r="2" spans="1:18" ht="15" thickBot="1">
      <c r="C2" s="7"/>
      <c r="D2" s="7"/>
      <c r="E2" s="7"/>
      <c r="F2" s="7"/>
    </row>
    <row r="3" spans="1:18" ht="15" thickBot="1">
      <c r="C3" s="7"/>
      <c r="D3" s="1" t="s">
        <v>49</v>
      </c>
      <c r="E3" s="10" t="s">
        <v>50</v>
      </c>
      <c r="F3" s="7"/>
      <c r="J3" s="8"/>
      <c r="K3" s="8"/>
      <c r="L3" s="8"/>
      <c r="M3" s="8"/>
      <c r="N3" s="8"/>
      <c r="O3" s="8"/>
      <c r="R3" s="13"/>
    </row>
    <row r="4" spans="1:18" ht="15" thickBot="1">
      <c r="C4" s="7"/>
      <c r="D4" s="3" t="s">
        <v>75</v>
      </c>
      <c r="E4" s="4">
        <v>2</v>
      </c>
      <c r="F4" s="7"/>
      <c r="R4" s="13"/>
    </row>
    <row r="5" spans="1:18" ht="15" thickBot="1">
      <c r="C5" s="7"/>
      <c r="D5" s="3" t="s">
        <v>76</v>
      </c>
      <c r="E5" s="4">
        <v>3</v>
      </c>
      <c r="F5" s="7"/>
      <c r="J5" s="8"/>
      <c r="R5" s="13"/>
    </row>
    <row r="6" spans="1:18" ht="15" thickBot="1">
      <c r="C6" s="7"/>
      <c r="D6" s="3" t="s">
        <v>77</v>
      </c>
      <c r="E6" s="4">
        <v>2</v>
      </c>
      <c r="F6" s="7"/>
      <c r="J6" s="8"/>
      <c r="R6" s="13"/>
    </row>
    <row r="7" spans="1:18" ht="15" thickBot="1">
      <c r="C7" s="7"/>
      <c r="D7" s="3" t="s">
        <v>78</v>
      </c>
      <c r="E7" s="4">
        <v>3</v>
      </c>
      <c r="F7" s="7"/>
      <c r="J7" s="8"/>
      <c r="R7" s="13"/>
    </row>
    <row r="8" spans="1:18" ht="15" thickBot="1">
      <c r="C8" s="7"/>
      <c r="D8" s="3" t="s">
        <v>79</v>
      </c>
      <c r="E8" s="4">
        <v>4</v>
      </c>
      <c r="F8" s="7"/>
      <c r="J8" s="8"/>
      <c r="R8" s="13"/>
    </row>
    <row r="9" spans="1:18" ht="15" thickBot="1">
      <c r="C9" s="7"/>
      <c r="D9" s="5" t="s">
        <v>51</v>
      </c>
      <c r="E9" s="11" t="s">
        <v>50</v>
      </c>
      <c r="F9" s="7"/>
      <c r="J9" s="8"/>
    </row>
    <row r="10" spans="1:18" ht="15" thickBot="1">
      <c r="C10" s="7"/>
      <c r="D10" s="3" t="s">
        <v>80</v>
      </c>
      <c r="E10" s="4">
        <v>1</v>
      </c>
      <c r="F10" s="7"/>
      <c r="J10" s="8"/>
    </row>
    <row r="11" spans="1:18" ht="15" thickBot="1">
      <c r="C11" s="7"/>
      <c r="D11" s="3" t="s">
        <v>81</v>
      </c>
      <c r="E11" s="4">
        <v>1</v>
      </c>
      <c r="F11" s="7"/>
      <c r="I11" t="str">
        <f>IF(Overview!L22="significantly below average", "significantly below average", "")&amp;IF(Overview!L22="below average", "below average", "")&amp;IF(Overview!L22="average", "average", "")&amp;IF(Overview!L22="above average", "above average", "")&amp;IF(Overview!L22="significantly above average", "significantly above average", "")</f>
        <v/>
      </c>
      <c r="J11" s="8"/>
    </row>
    <row r="12" spans="1:18" ht="15" thickBot="1">
      <c r="C12" s="7"/>
      <c r="D12" s="3" t="s">
        <v>82</v>
      </c>
      <c r="E12" s="4">
        <v>1</v>
      </c>
      <c r="F12" s="7"/>
      <c r="I12" t="str">
        <f>IF(Overview!L23="significantly below average", "significantly below average", "")&amp;IF(Overview!L23="below average", "below average", "")&amp;IF(Overview!L23="average", "average", "")&amp;IF(Overview!L23="above average", "above average", "")&amp;IF(Overview!L23="significantly above average", "significantly above average", "")</f>
        <v/>
      </c>
      <c r="J12" s="8"/>
      <c r="K12" s="8"/>
      <c r="L12" s="8"/>
    </row>
    <row r="13" spans="1:18" ht="15" thickBot="1">
      <c r="C13" s="7"/>
      <c r="D13" s="3" t="s">
        <v>83</v>
      </c>
      <c r="E13" s="4">
        <v>1</v>
      </c>
      <c r="F13" s="7"/>
      <c r="I13" t="str">
        <f>IF(Overview!L24="significantly below average", "significantly below average", "")&amp;IF(Overview!L24="below average", "below average", "")&amp;IF(Overview!L24="average", "average", "")&amp;IF(Overview!L24="above average", "above average", "")&amp;IF(Overview!L24="significantly above average", "significantly above average", "")</f>
        <v/>
      </c>
      <c r="J13" s="8"/>
    </row>
    <row r="14" spans="1:18" ht="15" thickBot="1">
      <c r="C14" s="7"/>
      <c r="D14" s="5" t="s">
        <v>58</v>
      </c>
      <c r="E14" s="11" t="s">
        <v>50</v>
      </c>
      <c r="F14" s="7"/>
      <c r="I14" t="str">
        <f>IF(Overview!L25="significantly below average", "significantly below average", "")&amp;IF(Overview!L25="below average", "below average", "")&amp;IF(Overview!L25="average", "average", "")&amp;IF(Overview!L25="above average", "above average", "")&amp;IF(Overview!L25="significantly above average", "significantly above average", "")</f>
        <v/>
      </c>
      <c r="J14" s="8"/>
    </row>
    <row r="15" spans="1:18" ht="15" thickBot="1">
      <c r="C15" s="7"/>
      <c r="D15" s="3" t="s">
        <v>87</v>
      </c>
      <c r="E15" s="4">
        <v>3</v>
      </c>
      <c r="F15" s="7"/>
      <c r="J15" s="8"/>
    </row>
    <row r="16" spans="1:18" ht="15" thickBot="1">
      <c r="C16" s="7"/>
      <c r="D16" s="3" t="s">
        <v>85</v>
      </c>
      <c r="E16" s="4">
        <v>3</v>
      </c>
      <c r="F16" s="7"/>
      <c r="J16" s="8"/>
    </row>
    <row r="17" spans="3:16" ht="15" thickBot="1">
      <c r="C17" s="7"/>
      <c r="D17" s="3" t="s">
        <v>95</v>
      </c>
      <c r="E17" s="4">
        <v>4</v>
      </c>
      <c r="F17" s="7"/>
      <c r="J17" s="8"/>
    </row>
    <row r="18" spans="3:16" ht="15" thickBot="1">
      <c r="C18" s="7"/>
      <c r="D18" s="3" t="s">
        <v>96</v>
      </c>
      <c r="E18" s="4">
        <v>3</v>
      </c>
      <c r="F18" s="7"/>
      <c r="J18" s="8"/>
    </row>
    <row r="19" spans="3:16" ht="15" thickBot="1">
      <c r="C19" s="7"/>
      <c r="D19" s="3" t="s">
        <v>84</v>
      </c>
      <c r="E19" s="4">
        <v>3</v>
      </c>
      <c r="F19" s="7"/>
      <c r="J19" s="8"/>
    </row>
    <row r="20" spans="3:16" ht="15" thickBot="1">
      <c r="C20" s="7"/>
      <c r="D20" s="5" t="s">
        <v>64</v>
      </c>
      <c r="E20" s="11" t="s">
        <v>65</v>
      </c>
      <c r="F20" s="7"/>
      <c r="J20" s="8"/>
    </row>
    <row r="21" spans="3:16" ht="15" thickBot="1">
      <c r="C21" s="7"/>
      <c r="D21" s="3" t="s">
        <v>89</v>
      </c>
      <c r="E21" s="4" t="str">
        <f>I11</f>
        <v/>
      </c>
      <c r="F21" s="7"/>
      <c r="I21">
        <f>COUNTIF(E21:E24, behavior1)</f>
        <v>4</v>
      </c>
      <c r="J21" s="34"/>
    </row>
    <row r="22" spans="3:16" ht="15" thickBot="1">
      <c r="C22" s="7"/>
      <c r="D22" s="3" t="s">
        <v>90</v>
      </c>
      <c r="E22" s="4" t="str">
        <f t="shared" ref="E22:E24" si="0">I12</f>
        <v/>
      </c>
      <c r="F22" s="7"/>
      <c r="I22">
        <f>COUNTIF(I21, 4)</f>
        <v>1</v>
      </c>
      <c r="J22" s="8"/>
      <c r="K22" s="8"/>
      <c r="L22" s="8"/>
      <c r="M22" s="8"/>
      <c r="N22" s="8"/>
      <c r="O22" s="8"/>
    </row>
    <row r="23" spans="3:16" ht="15" thickBot="1">
      <c r="C23" s="7"/>
      <c r="D23" s="3" t="s">
        <v>91</v>
      </c>
      <c r="E23" s="4" t="str">
        <f t="shared" si="0"/>
        <v/>
      </c>
      <c r="F23" s="7"/>
      <c r="J23" s="8"/>
    </row>
    <row r="24" spans="3:16" ht="15" thickBot="1">
      <c r="C24" s="7"/>
      <c r="D24" s="3" t="s">
        <v>92</v>
      </c>
      <c r="E24" s="4" t="str">
        <f t="shared" si="0"/>
        <v/>
      </c>
      <c r="F24" s="7"/>
      <c r="J24" s="8"/>
    </row>
    <row r="25" spans="3:16">
      <c r="C25" s="7"/>
      <c r="D25" s="17"/>
      <c r="E25" s="17"/>
      <c r="F25" s="7"/>
      <c r="J25" s="8"/>
    </row>
    <row r="26" spans="3:16">
      <c r="C26" s="12"/>
      <c r="D26" s="12"/>
      <c r="E26" s="12"/>
      <c r="F26" s="12"/>
      <c r="J26" s="8"/>
    </row>
    <row r="27" spans="3:16">
      <c r="J27" s="8"/>
    </row>
    <row r="28" spans="3:16">
      <c r="J28" s="8"/>
      <c r="K28" s="12"/>
      <c r="L28" s="12"/>
      <c r="M28" s="12"/>
      <c r="N28" s="12"/>
      <c r="O28" s="12"/>
      <c r="P28" s="12"/>
    </row>
    <row r="29" spans="3:16">
      <c r="J29" s="8"/>
    </row>
    <row r="30" spans="3:16">
      <c r="C30" t="s">
        <v>115</v>
      </c>
      <c r="D30" t="str">
        <f>IF(I22=0, Firstname&amp;" demonstrates "&amp;behavior1&amp;" "&amp;Overview!E13&amp;", "&amp;behavior2&amp;" "&amp;Overview!E14&amp;", "&amp;behavior3&amp;" "&amp;Overview!E15&amp;", and "&amp;behavior4&amp;" "&amp;Overview!E16&amp;" compared to "&amp;hislower&amp;" classmates.", "")</f>
        <v/>
      </c>
    </row>
    <row r="33" spans="3:4">
      <c r="C33">
        <v>4</v>
      </c>
      <c r="D33" t="str">
        <f>IF(I22=1, Firstname&amp;" was rated as "&amp;E21&amp;" compared to "&amp;hislower&amp;" classmates in the following areas: "&amp;Overview!E13&amp;", "&amp;Overview!E14&amp;", "&amp;Overview!E15&amp;", and "&amp;Overview!E16&amp;".", "")</f>
        <v xml:space="preserve"> was rated as  compared to her classmates in the following areas: compliance to directions, on-task behavior, work completion, and participation.</v>
      </c>
    </row>
    <row r="35" spans="3:4">
      <c r="C35" t="s">
        <v>109</v>
      </c>
      <c r="D35" t="str">
        <f>"Regarding behavior, "&amp;D30&amp;D33</f>
        <v>Regarding behavior,  was rated as  compared to her classmates in the following areas: compliance to directions, on-task behavior, work completion, and participation.</v>
      </c>
    </row>
    <row r="36" spans="3:4">
      <c r="D36" t="s">
        <v>47</v>
      </c>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baseColWidth="10" defaultColWidth="8.83203125" defaultRowHeight="14" x14ac:dyDescent="0"/>
  <cols>
    <col min="1" max="1" width="18.83203125" bestFit="1" customWidth="1"/>
    <col min="2" max="2" width="12.5" bestFit="1" customWidth="1"/>
    <col min="3" max="3" width="21.6640625" bestFit="1" customWidth="1"/>
  </cols>
  <sheetData>
    <row r="1" spans="1:7">
      <c r="A1" s="8" t="s">
        <v>48</v>
      </c>
    </row>
    <row r="2" spans="1:7">
      <c r="A2" t="s">
        <v>97</v>
      </c>
      <c r="B2">
        <f>Overview!C4</f>
        <v>0</v>
      </c>
    </row>
    <row r="3" spans="1:7">
      <c r="A3" t="s">
        <v>98</v>
      </c>
      <c r="B3">
        <f>Overview!C5</f>
        <v>0</v>
      </c>
      <c r="E3" t="s">
        <v>99</v>
      </c>
    </row>
    <row r="4" spans="1:7">
      <c r="A4" t="s">
        <v>100</v>
      </c>
      <c r="B4" s="25">
        <f>Overview!E5</f>
        <v>0</v>
      </c>
      <c r="E4" t="s">
        <v>101</v>
      </c>
      <c r="F4" t="s">
        <v>102</v>
      </c>
      <c r="G4" t="s">
        <v>103</v>
      </c>
    </row>
    <row r="5" spans="1:7">
      <c r="A5" t="s">
        <v>104</v>
      </c>
      <c r="B5" s="30">
        <f>Overview!E6</f>
        <v>0</v>
      </c>
      <c r="D5" t="s">
        <v>47</v>
      </c>
      <c r="E5" t="s">
        <v>105</v>
      </c>
    </row>
    <row r="6" spans="1:7">
      <c r="B6" s="25"/>
      <c r="E6" t="s">
        <v>106</v>
      </c>
      <c r="F6" t="s">
        <v>107</v>
      </c>
      <c r="G6" t="s">
        <v>108</v>
      </c>
    </row>
    <row r="7" spans="1:7">
      <c r="B7" s="25"/>
    </row>
    <row r="8" spans="1:7">
      <c r="E8" t="str">
        <f>IF(B4="Male", E4, E6)</f>
        <v>She</v>
      </c>
      <c r="F8" t="str">
        <f>IF(B4="Male", F4, F6)</f>
        <v>Her</v>
      </c>
      <c r="G8" t="str">
        <f>IF(B4="Male", G4, G6)</f>
        <v>her</v>
      </c>
    </row>
    <row r="9" spans="1:7">
      <c r="B9" s="25">
        <v>36526</v>
      </c>
    </row>
    <row r="10" spans="1:7">
      <c r="B10" t="e">
        <f>DATEDIF(B9, B5, "Y")</f>
        <v>#NUM!</v>
      </c>
      <c r="C10" t="e">
        <f>B10</f>
        <v>#NUM!</v>
      </c>
    </row>
    <row r="11" spans="1:7">
      <c r="B11" t="e">
        <f>DATEDIF(B9, B5,"YM")</f>
        <v>#NUM!</v>
      </c>
      <c r="C11" t="e">
        <f>B11+1</f>
        <v>#NUM!</v>
      </c>
    </row>
    <row r="12" spans="1:7">
      <c r="B12" t="e">
        <f>DATEDIF(B9, B5, "MD")</f>
        <v>#NUM!</v>
      </c>
      <c r="C12" t="e">
        <f>B12+1</f>
        <v>#NUM!</v>
      </c>
    </row>
    <row r="15" spans="1:7">
      <c r="C15" s="25"/>
    </row>
    <row r="20" spans="3:3">
      <c r="C20" t="s">
        <v>47</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Reading</vt:lpstr>
      <vt:lpstr>Math</vt:lpstr>
      <vt:lpstr>Writing</vt:lpstr>
      <vt:lpstr>Behavior</vt:lpstr>
      <vt:lpstr>Identifying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McIvor</dc:creator>
  <cp:lastModifiedBy>Tim McIvor</cp:lastModifiedBy>
  <cp:revision/>
  <dcterms:created xsi:type="dcterms:W3CDTF">2015-06-09T22:51:59Z</dcterms:created>
  <dcterms:modified xsi:type="dcterms:W3CDTF">2016-01-24T05:38:48Z</dcterms:modified>
</cp:coreProperties>
</file>